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codeName="ThisWorkbook"/>
  <xr:revisionPtr revIDLastSave="0" documentId="13_ncr:1_{BB4C665F-E082-42B9-AAFF-A55DFD04E155}" xr6:coauthVersionLast="47" xr6:coauthVersionMax="47" xr10:uidLastSave="{00000000-0000-0000-0000-000000000000}"/>
  <bookViews>
    <workbookView xWindow="-28920" yWindow="5970" windowWidth="29040" windowHeight="15720" tabRatio="611" activeTab="14" xr2:uid="{00000000-000D-0000-FFFF-FFFF00000000}"/>
  </bookViews>
  <sheets>
    <sheet name="週間予定 (2)" sheetId="22" r:id="rId1"/>
    <sheet name="基本予定" sheetId="21" r:id="rId2"/>
    <sheet name="T評価P" sheetId="20" r:id="rId3"/>
    <sheet name="1 月" sheetId="6" r:id="rId4"/>
    <sheet name="2 月" sheetId="9" r:id="rId5"/>
    <sheet name="3 月" sheetId="10" r:id="rId6"/>
    <sheet name="4 月" sheetId="11" r:id="rId7"/>
    <sheet name="5 月" sheetId="12" r:id="rId8"/>
    <sheet name="6 月" sheetId="13" r:id="rId9"/>
    <sheet name="7 月" sheetId="14" r:id="rId10"/>
    <sheet name="8 月" sheetId="15" r:id="rId11"/>
    <sheet name="9 月" sheetId="16" r:id="rId12"/>
    <sheet name="10 月" sheetId="17" r:id="rId13"/>
    <sheet name="11 月" sheetId="18" r:id="rId14"/>
    <sheet name="12 月" sheetId="19" r:id="rId15"/>
  </sheets>
  <definedNames>
    <definedName name="AprSun1">DATE(カレンダーの年,4,1)-WEEKDAY(DATE(カレンダーの年,4,1))+1</definedName>
    <definedName name="AugSun1">DATE(カレンダーの年,8,1)-WEEKDAY(DATE(カレンダーの年,8,1))+1</definedName>
    <definedName name="ColumnTitle1">#REF!</definedName>
    <definedName name="DecSun1">DATE(カレンダーの年,12,1)-WEEKDAY(DATE(カレンダーの年,12,1))+1</definedName>
    <definedName name="FebSun1">DATE(カレンダーの年,2,1)-WEEKDAY(DATE(カレンダーの年,2,1))+1</definedName>
    <definedName name="JanSun1">DATE(カレンダーの年,1,1)-WEEKDAY(DATE(カレンダーの年,1,1))+1</definedName>
    <definedName name="JulSun1">DATE(カレンダーの年,7,1)-WEEKDAY(DATE(カレンダーの年,7,1))+1</definedName>
    <definedName name="JunSun1">DATE(カレンダーの年,6,1)-WEEKDAY(DATE(カレンダーの年,6,1))+1</definedName>
    <definedName name="LastDay_Week">MAX(#REF!)</definedName>
    <definedName name="LastDayOfMonth_Week" localSheetId="1">DAY(EOMONTH(DATE(#REF!,基本予定!WkMonthNum,1),0))</definedName>
    <definedName name="LastDayOfMonth_Week">DAY(EOMONTH(DATE(#REF!,WkMonthNum,1),0))</definedName>
    <definedName name="MarSun1">DATE(カレンダーの年,3,1)-WEEKDAY(DATE(カレンダーの年,3,1))+1</definedName>
    <definedName name="MaySun1">DATE(カレンダーの年,5,1)-WEEKDAY(DATE(カレンダーの年,5,1))+1</definedName>
    <definedName name="MoMonth">#REF!</definedName>
    <definedName name="MoMonthNum" localSheetId="1">MONTH(DATEVALUE(MoMonth&amp;"/1"))</definedName>
    <definedName name="MoMonthNum">MONTH(DATEVALUE(MoMonth&amp;"/1"))</definedName>
    <definedName name="MoYear">#REF!</definedName>
    <definedName name="NovSun1">DATE(カレンダーの年,11,1)-WEEKDAY(DATE(カレンダーの年,11,1))+1</definedName>
    <definedName name="OctSun1">DATE(カレンダーの年,10,1)-WEEKDAY(DATE(カレンダーの年,10,1))+1</definedName>
    <definedName name="SepSun1">DATE(カレンダーの年,9,1)-WEEKDAY(DATE(カレンダーの年,9,1))+1</definedName>
    <definedName name="WkMonthNum" localSheetId="1">#N/A</definedName>
    <definedName name="WkMonthNum">#N/A</definedName>
    <definedName name="WkMonthView">#REF!</definedName>
    <definedName name="WkWeek">LEFT(RIGHT(#REF!,3),1)</definedName>
    <definedName name="カレンダーの年">'1 月'!$K$2</definedName>
    <definedName name="印刷範囲" localSheetId="3">'1 月'!$B$2:$J$16</definedName>
    <definedName name="印刷範囲" localSheetId="12">'10 月'!$B$2:$J$16</definedName>
    <definedName name="印刷範囲" localSheetId="13">'11 月'!$B$2:$J$16</definedName>
    <definedName name="印刷範囲" localSheetId="14">'12 月'!$B$2:$J$16</definedName>
    <definedName name="印刷範囲" localSheetId="4">'2 月'!$B$2:$J$16</definedName>
    <definedName name="印刷範囲" localSheetId="5">'3 月'!$B$2:$J$16</definedName>
    <definedName name="印刷範囲" localSheetId="6">'4 月'!$B$2:$J$16</definedName>
    <definedName name="印刷範囲" localSheetId="7">'5 月'!$B$2:$J$16</definedName>
    <definedName name="印刷範囲" localSheetId="8">'6 月'!$B$2:$J$16</definedName>
    <definedName name="印刷範囲" localSheetId="9">'7 月'!$B$2:$J$16</definedName>
    <definedName name="印刷範囲" localSheetId="10">'8 月'!$B$2:$J$16</definedName>
    <definedName name="印刷範囲" localSheetId="11">'9 月'!$B$2:$J$16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7" i="14" l="1"/>
  <c r="G9" i="14"/>
  <c r="G11" i="14"/>
  <c r="H7" i="19"/>
  <c r="B3" i="6"/>
  <c r="B3" i="9"/>
  <c r="B3" i="10"/>
  <c r="B3" i="11"/>
  <c r="B3" i="12"/>
  <c r="B3" i="13"/>
  <c r="B3" i="14"/>
  <c r="B3" i="15"/>
  <c r="B3" i="16"/>
  <c r="B3" i="17"/>
  <c r="B3" i="18"/>
  <c r="B3" i="19"/>
  <c r="B5" i="6"/>
  <c r="D5" i="6"/>
  <c r="C15" i="11"/>
  <c r="B15" i="11"/>
  <c r="H13" i="11"/>
  <c r="G13" i="11"/>
  <c r="F13" i="11"/>
  <c r="E13" i="11"/>
  <c r="D13" i="11"/>
  <c r="C13" i="11"/>
  <c r="B13" i="11"/>
  <c r="H11" i="11"/>
  <c r="G11" i="11"/>
  <c r="F11" i="11"/>
  <c r="E11" i="11"/>
  <c r="D11" i="11"/>
  <c r="C11" i="11"/>
  <c r="B11" i="11"/>
  <c r="H9" i="11"/>
  <c r="G9" i="11"/>
  <c r="F9" i="11"/>
  <c r="E9" i="11"/>
  <c r="D9" i="11"/>
  <c r="C9" i="11"/>
  <c r="B9" i="11"/>
  <c r="H7" i="11"/>
  <c r="G7" i="11"/>
  <c r="F7" i="11"/>
  <c r="E7" i="11"/>
  <c r="D7" i="11"/>
  <c r="C7" i="11"/>
  <c r="B7" i="11"/>
  <c r="H5" i="11"/>
  <c r="G5" i="11"/>
  <c r="F5" i="11"/>
  <c r="E5" i="11"/>
  <c r="D5" i="11"/>
  <c r="C5" i="11"/>
  <c r="B5" i="11"/>
  <c r="C15" i="12"/>
  <c r="B15" i="12"/>
  <c r="H13" i="12"/>
  <c r="G13" i="12"/>
  <c r="F13" i="12"/>
  <c r="E13" i="12"/>
  <c r="D13" i="12"/>
  <c r="C13" i="12"/>
  <c r="B13" i="12"/>
  <c r="H11" i="12"/>
  <c r="G11" i="12"/>
  <c r="F11" i="12"/>
  <c r="E11" i="12"/>
  <c r="D11" i="12"/>
  <c r="C11" i="12"/>
  <c r="B11" i="12"/>
  <c r="H9" i="12"/>
  <c r="G9" i="12"/>
  <c r="F9" i="12"/>
  <c r="E9" i="12"/>
  <c r="D9" i="12"/>
  <c r="C9" i="12"/>
  <c r="B9" i="12"/>
  <c r="H7" i="12"/>
  <c r="G7" i="12"/>
  <c r="F7" i="12"/>
  <c r="E7" i="12"/>
  <c r="D7" i="12"/>
  <c r="C7" i="12"/>
  <c r="B7" i="12"/>
  <c r="H5" i="12"/>
  <c r="G5" i="12"/>
  <c r="F5" i="12"/>
  <c r="E5" i="12"/>
  <c r="D5" i="12"/>
  <c r="C5" i="12"/>
  <c r="B5" i="12"/>
  <c r="C15" i="13"/>
  <c r="B15" i="13"/>
  <c r="H13" i="13"/>
  <c r="G13" i="13"/>
  <c r="F13" i="13"/>
  <c r="E13" i="13"/>
  <c r="D13" i="13"/>
  <c r="C13" i="13"/>
  <c r="B13" i="13"/>
  <c r="H11" i="13"/>
  <c r="G11" i="13"/>
  <c r="F11" i="13"/>
  <c r="E11" i="13"/>
  <c r="D11" i="13"/>
  <c r="C11" i="13"/>
  <c r="B11" i="13"/>
  <c r="H9" i="13"/>
  <c r="G9" i="13"/>
  <c r="F9" i="13"/>
  <c r="E9" i="13"/>
  <c r="D9" i="13"/>
  <c r="C9" i="13"/>
  <c r="B9" i="13"/>
  <c r="H7" i="13"/>
  <c r="G7" i="13"/>
  <c r="F7" i="13"/>
  <c r="E7" i="13"/>
  <c r="D7" i="13"/>
  <c r="C7" i="13"/>
  <c r="B7" i="13"/>
  <c r="H5" i="13"/>
  <c r="G5" i="13"/>
  <c r="F5" i="13"/>
  <c r="E5" i="13"/>
  <c r="D5" i="13"/>
  <c r="C5" i="13"/>
  <c r="B5" i="13"/>
  <c r="C15" i="14"/>
  <c r="B15" i="14"/>
  <c r="H13" i="14"/>
  <c r="G13" i="14"/>
  <c r="F13" i="14"/>
  <c r="E13" i="14"/>
  <c r="D13" i="14"/>
  <c r="C13" i="14"/>
  <c r="B13" i="14"/>
  <c r="H11" i="14"/>
  <c r="F11" i="14"/>
  <c r="E11" i="14"/>
  <c r="D11" i="14"/>
  <c r="C11" i="14"/>
  <c r="B11" i="14"/>
  <c r="H9" i="14"/>
  <c r="F9" i="14"/>
  <c r="E9" i="14"/>
  <c r="D9" i="14"/>
  <c r="C9" i="14"/>
  <c r="B9" i="14"/>
  <c r="H7" i="14"/>
  <c r="F7" i="14"/>
  <c r="E7" i="14"/>
  <c r="D7" i="14"/>
  <c r="C7" i="14"/>
  <c r="B7" i="14"/>
  <c r="H5" i="14"/>
  <c r="G5" i="14"/>
  <c r="F5" i="14"/>
  <c r="E5" i="14"/>
  <c r="D5" i="14"/>
  <c r="C5" i="14"/>
  <c r="B5" i="14"/>
  <c r="C15" i="15"/>
  <c r="B15" i="15"/>
  <c r="H13" i="15"/>
  <c r="G13" i="15"/>
  <c r="F13" i="15"/>
  <c r="E13" i="15"/>
  <c r="D13" i="15"/>
  <c r="C13" i="15"/>
  <c r="B13" i="15"/>
  <c r="H11" i="15"/>
  <c r="G11" i="15"/>
  <c r="F11" i="15"/>
  <c r="E11" i="15"/>
  <c r="D11" i="15"/>
  <c r="C11" i="15"/>
  <c r="B11" i="15"/>
  <c r="H9" i="15"/>
  <c r="G9" i="15"/>
  <c r="F9" i="15"/>
  <c r="E9" i="15"/>
  <c r="D9" i="15"/>
  <c r="C9" i="15"/>
  <c r="B9" i="15"/>
  <c r="H7" i="15"/>
  <c r="G7" i="15"/>
  <c r="F7" i="15"/>
  <c r="E7" i="15"/>
  <c r="D7" i="15"/>
  <c r="C7" i="15"/>
  <c r="B7" i="15"/>
  <c r="H5" i="15"/>
  <c r="G5" i="15"/>
  <c r="F5" i="15"/>
  <c r="E5" i="15"/>
  <c r="D5" i="15"/>
  <c r="C5" i="15"/>
  <c r="B5" i="15"/>
  <c r="C15" i="16"/>
  <c r="B15" i="16"/>
  <c r="H13" i="16"/>
  <c r="G13" i="16"/>
  <c r="F13" i="16"/>
  <c r="E13" i="16"/>
  <c r="D13" i="16"/>
  <c r="C13" i="16"/>
  <c r="B13" i="16"/>
  <c r="H11" i="16"/>
  <c r="G11" i="16"/>
  <c r="F11" i="16"/>
  <c r="E11" i="16"/>
  <c r="D11" i="16"/>
  <c r="C11" i="16"/>
  <c r="B11" i="16"/>
  <c r="H9" i="16"/>
  <c r="G9" i="16"/>
  <c r="F9" i="16"/>
  <c r="E9" i="16"/>
  <c r="D9" i="16"/>
  <c r="C9" i="16"/>
  <c r="B9" i="16"/>
  <c r="H7" i="16"/>
  <c r="G7" i="16"/>
  <c r="F7" i="16"/>
  <c r="E7" i="16"/>
  <c r="D7" i="16"/>
  <c r="C7" i="16"/>
  <c r="B7" i="16"/>
  <c r="H5" i="16"/>
  <c r="G5" i="16"/>
  <c r="F5" i="16"/>
  <c r="E5" i="16"/>
  <c r="D5" i="16"/>
  <c r="C5" i="16"/>
  <c r="B5" i="16"/>
  <c r="C15" i="17"/>
  <c r="B15" i="17"/>
  <c r="H13" i="17"/>
  <c r="G13" i="17"/>
  <c r="F13" i="17"/>
  <c r="E13" i="17"/>
  <c r="D13" i="17"/>
  <c r="C13" i="17"/>
  <c r="B13" i="17"/>
  <c r="H11" i="17"/>
  <c r="G11" i="17"/>
  <c r="F11" i="17"/>
  <c r="E11" i="17"/>
  <c r="D11" i="17"/>
  <c r="C11" i="17"/>
  <c r="B11" i="17"/>
  <c r="H9" i="17"/>
  <c r="G9" i="17"/>
  <c r="F9" i="17"/>
  <c r="E9" i="17"/>
  <c r="D9" i="17"/>
  <c r="C9" i="17"/>
  <c r="B9" i="17"/>
  <c r="H7" i="17"/>
  <c r="G7" i="17"/>
  <c r="F7" i="17"/>
  <c r="E7" i="17"/>
  <c r="D7" i="17"/>
  <c r="C7" i="17"/>
  <c r="B7" i="17"/>
  <c r="H5" i="17"/>
  <c r="G5" i="17"/>
  <c r="F5" i="17"/>
  <c r="E5" i="17"/>
  <c r="D5" i="17"/>
  <c r="C5" i="17"/>
  <c r="B5" i="17"/>
  <c r="C15" i="18"/>
  <c r="B15" i="18"/>
  <c r="H13" i="18"/>
  <c r="G13" i="18"/>
  <c r="F13" i="18"/>
  <c r="E13" i="18"/>
  <c r="D13" i="18"/>
  <c r="C13" i="18"/>
  <c r="B13" i="18"/>
  <c r="H11" i="18"/>
  <c r="G11" i="18"/>
  <c r="F11" i="18"/>
  <c r="E11" i="18"/>
  <c r="D11" i="18"/>
  <c r="C11" i="18"/>
  <c r="B11" i="18"/>
  <c r="H9" i="18"/>
  <c r="G9" i="18"/>
  <c r="F9" i="18"/>
  <c r="E9" i="18"/>
  <c r="D9" i="18"/>
  <c r="C9" i="18"/>
  <c r="B9" i="18"/>
  <c r="H7" i="18"/>
  <c r="G7" i="18"/>
  <c r="F7" i="18"/>
  <c r="E7" i="18"/>
  <c r="D7" i="18"/>
  <c r="C7" i="18"/>
  <c r="B7" i="18"/>
  <c r="H5" i="18"/>
  <c r="G5" i="18"/>
  <c r="F5" i="18"/>
  <c r="E5" i="18"/>
  <c r="D5" i="18"/>
  <c r="C5" i="18"/>
  <c r="B5" i="18"/>
  <c r="C15" i="19"/>
  <c r="B15" i="19"/>
  <c r="H13" i="19"/>
  <c r="G13" i="19"/>
  <c r="F13" i="19"/>
  <c r="E13" i="19"/>
  <c r="D13" i="19"/>
  <c r="C13" i="19"/>
  <c r="B13" i="19"/>
  <c r="H11" i="19"/>
  <c r="G11" i="19"/>
  <c r="F11" i="19"/>
  <c r="E11" i="19"/>
  <c r="D11" i="19"/>
  <c r="C11" i="19"/>
  <c r="B11" i="19"/>
  <c r="H9" i="19"/>
  <c r="G9" i="19"/>
  <c r="F9" i="19"/>
  <c r="E9" i="19"/>
  <c r="D9" i="19"/>
  <c r="C9" i="19"/>
  <c r="B9" i="19"/>
  <c r="G7" i="19"/>
  <c r="F7" i="19"/>
  <c r="E7" i="19"/>
  <c r="D7" i="19"/>
  <c r="C7" i="19"/>
  <c r="B7" i="19"/>
  <c r="H5" i="19"/>
  <c r="G5" i="19"/>
  <c r="F5" i="19"/>
  <c r="E5" i="19"/>
  <c r="D5" i="19"/>
  <c r="C5" i="19"/>
  <c r="B5" i="19"/>
  <c r="C15" i="10"/>
  <c r="B15" i="10"/>
  <c r="H13" i="10"/>
  <c r="G13" i="10"/>
  <c r="F13" i="10"/>
  <c r="E13" i="10"/>
  <c r="D13" i="10"/>
  <c r="C13" i="10"/>
  <c r="B13" i="10"/>
  <c r="H11" i="10"/>
  <c r="G11" i="10"/>
  <c r="F11" i="10"/>
  <c r="E11" i="10"/>
  <c r="D11" i="10"/>
  <c r="C11" i="10"/>
  <c r="B11" i="10"/>
  <c r="H9" i="10"/>
  <c r="G9" i="10"/>
  <c r="F9" i="10"/>
  <c r="E9" i="10"/>
  <c r="D9" i="10"/>
  <c r="C9" i="10"/>
  <c r="B9" i="10"/>
  <c r="H7" i="10"/>
  <c r="G7" i="10"/>
  <c r="F7" i="10"/>
  <c r="E7" i="10"/>
  <c r="D7" i="10"/>
  <c r="C7" i="10"/>
  <c r="B7" i="10"/>
  <c r="H5" i="10"/>
  <c r="G5" i="10"/>
  <c r="F5" i="10"/>
  <c r="E5" i="10"/>
  <c r="D5" i="10"/>
  <c r="C5" i="10"/>
  <c r="B5" i="10"/>
  <c r="C15" i="9"/>
  <c r="B15" i="9"/>
  <c r="H13" i="9"/>
  <c r="G13" i="9"/>
  <c r="F13" i="9"/>
  <c r="E13" i="9"/>
  <c r="D13" i="9"/>
  <c r="C13" i="9"/>
  <c r="B13" i="9"/>
  <c r="H11" i="9"/>
  <c r="G11" i="9"/>
  <c r="F11" i="9"/>
  <c r="E11" i="9"/>
  <c r="D11" i="9"/>
  <c r="C11" i="9"/>
  <c r="B11" i="9"/>
  <c r="H9" i="9"/>
  <c r="G9" i="9"/>
  <c r="F9" i="9"/>
  <c r="E9" i="9"/>
  <c r="D9" i="9"/>
  <c r="C9" i="9"/>
  <c r="B9" i="9"/>
  <c r="H7" i="9"/>
  <c r="G7" i="9"/>
  <c r="F7" i="9"/>
  <c r="E7" i="9"/>
  <c r="D7" i="9"/>
  <c r="C7" i="9"/>
  <c r="B7" i="9"/>
  <c r="H5" i="9"/>
  <c r="G5" i="9"/>
  <c r="F5" i="9"/>
  <c r="E5" i="9"/>
  <c r="D5" i="9"/>
  <c r="C5" i="9"/>
  <c r="B5" i="9"/>
  <c r="C15" i="6"/>
  <c r="C5" i="6"/>
  <c r="E5" i="6"/>
  <c r="F5" i="6"/>
  <c r="G5" i="6"/>
  <c r="H5" i="6"/>
  <c r="B7" i="6"/>
  <c r="C7" i="6"/>
  <c r="D7" i="6"/>
  <c r="E7" i="6"/>
  <c r="F7" i="6"/>
  <c r="G7" i="6"/>
  <c r="H7" i="6"/>
  <c r="B9" i="6"/>
  <c r="C9" i="6"/>
  <c r="D9" i="6"/>
  <c r="E9" i="6"/>
  <c r="F9" i="6"/>
  <c r="G9" i="6"/>
  <c r="H9" i="6"/>
  <c r="B11" i="6"/>
  <c r="C11" i="6"/>
  <c r="D11" i="6"/>
  <c r="E11" i="6"/>
  <c r="F11" i="6"/>
  <c r="G11" i="6"/>
  <c r="H11" i="6"/>
  <c r="B13" i="6"/>
  <c r="C13" i="6"/>
  <c r="D13" i="6"/>
  <c r="E13" i="6"/>
  <c r="F13" i="6"/>
  <c r="G13" i="6"/>
  <c r="H13" i="6"/>
  <c r="B15" i="6"/>
</calcChain>
</file>

<file path=xl/sharedStrings.xml><?xml version="1.0" encoding="utf-8"?>
<sst xmlns="http://schemas.openxmlformats.org/spreadsheetml/2006/main" count="278" uniqueCount="121">
  <si>
    <t>火曜日</t>
  </si>
  <si>
    <t>水曜日</t>
  </si>
  <si>
    <t>木曜日</t>
  </si>
  <si>
    <t>金曜日</t>
  </si>
  <si>
    <t>土曜</t>
  </si>
  <si>
    <t>日曜</t>
  </si>
  <si>
    <t>月曜日</t>
    <phoneticPr fontId="6"/>
  </si>
  <si>
    <t>年の選択:</t>
  </si>
  <si>
    <t>メモ:</t>
  </si>
  <si>
    <t>月曜日</t>
  </si>
  <si>
    <t>テーマ</t>
    <phoneticPr fontId="6"/>
  </si>
  <si>
    <t>気温も高くなつこの季節！こまめな水分（２０分に１回、一口）休憩も取りつつ、
メリハリ（切換）をつけてトライしていこう</t>
    <rPh sb="0" eb="2">
      <t>キオン</t>
    </rPh>
    <rPh sb="3" eb="4">
      <t>タカ</t>
    </rPh>
    <rPh sb="9" eb="11">
      <t>キセツ</t>
    </rPh>
    <rPh sb="16" eb="18">
      <t>スイブン</t>
    </rPh>
    <rPh sb="21" eb="22">
      <t>フン</t>
    </rPh>
    <rPh sb="24" eb="25">
      <t>カイ</t>
    </rPh>
    <rPh sb="26" eb="28">
      <t>ヒトクチ</t>
    </rPh>
    <rPh sb="29" eb="31">
      <t>キュウケイ</t>
    </rPh>
    <rPh sb="32" eb="33">
      <t>ト</t>
    </rPh>
    <rPh sb="43" eb="45">
      <t>キリカエ</t>
    </rPh>
    <phoneticPr fontId="6"/>
  </si>
  <si>
    <t>レベル</t>
  </si>
  <si>
    <r>
      <t>[全米テニス協会評価プログラム]　ガイドライン</t>
    </r>
    <r>
      <rPr>
        <sz val="11"/>
        <color rgb="FF3300CC"/>
        <rFont val="HG丸ｺﾞｼｯｸM-PRO"/>
        <family val="3"/>
        <charset val="128"/>
      </rPr>
      <t>　</t>
    </r>
  </si>
  <si>
    <t>テニスを始めたばかり</t>
  </si>
  <si>
    <t>ボールをつないだ練習ができる</t>
  </si>
  <si>
    <t>ゲームができてシングルス、ダブルス、カウントが理解できる</t>
  </si>
  <si>
    <t>同レベルの相手と深いラリーが続けられる</t>
  </si>
  <si>
    <t>深いストロークを打てるがダブルスのゲームは雁行陣のまま</t>
  </si>
  <si>
    <t>積極的に平行陣を敷いてコートカバーが広がる　</t>
  </si>
  <si>
    <t>（スクール中級者）</t>
  </si>
  <si>
    <t>フォア、バックとも打球の方向、深さのコントロールがあり、
時にはサービスエースが取れる　</t>
    <phoneticPr fontId="6"/>
  </si>
  <si>
    <t>（スクール上級者）</t>
  </si>
  <si>
    <t>パワーとスピンを使い分け安定したフットワークを持ち
チャンスボールを逃さない　</t>
    <phoneticPr fontId="6"/>
  </si>
  <si>
    <t>（草トーナメント
初中級覇者）</t>
    <phoneticPr fontId="6"/>
  </si>
  <si>
    <t>優れたショットを持ちそれを中心にゲームを組み立て、ロブ、ドロップショット、
オーバーヘットスマッシュを使い分けてゲームができる　</t>
    <phoneticPr fontId="6"/>
  </si>
  <si>
    <t>パワーと粘り強さを持ちピンチの局面打開に優れる</t>
  </si>
  <si>
    <t>集中トレーニングを積み全国トーナメントに出場ランキング入賞者</t>
  </si>
  <si>
    <t>海外トーナメントで賞金を得る</t>
  </si>
  <si>
    <t>トーナメントの賞金で生計をたてている</t>
  </si>
  <si>
    <t>ベイサイド本牧スポーツアカデミー／活動予定</t>
    <rPh sb="5" eb="7">
      <t>ホンモク</t>
    </rPh>
    <rPh sb="17" eb="19">
      <t>カツドウ</t>
    </rPh>
    <rPh sb="19" eb="21">
      <t>ヨテイ</t>
    </rPh>
    <phoneticPr fontId="6"/>
  </si>
  <si>
    <t>土</t>
    <rPh sb="0" eb="1">
      <t>ド</t>
    </rPh>
    <phoneticPr fontId="6"/>
  </si>
  <si>
    <t>日</t>
    <rPh sb="0" eb="1">
      <t>ヒ</t>
    </rPh>
    <phoneticPr fontId="6"/>
  </si>
  <si>
    <t>時間</t>
    <rPh sb="0" eb="2">
      <t>ジカン</t>
    </rPh>
    <phoneticPr fontId="6"/>
  </si>
  <si>
    <t>クラス</t>
    <phoneticPr fontId="6"/>
  </si>
  <si>
    <t>レベル</t>
    <phoneticPr fontId="6"/>
  </si>
  <si>
    <t>9:00～
　　10:00</t>
    <phoneticPr fontId="6"/>
  </si>
  <si>
    <t>合同</t>
    <rPh sb="0" eb="2">
      <t>ゴウドウ</t>
    </rPh>
    <phoneticPr fontId="6"/>
  </si>
  <si>
    <t>10:30～
　　12:00</t>
    <phoneticPr fontId="6"/>
  </si>
  <si>
    <t>中学生</t>
    <rPh sb="0" eb="3">
      <t>チュウガクセイ</t>
    </rPh>
    <phoneticPr fontId="6"/>
  </si>
  <si>
    <t>初中級～
中級</t>
    <rPh sb="0" eb="3">
      <t>ショチュウキュウ</t>
    </rPh>
    <rPh sb="5" eb="7">
      <t>チュウキュウ</t>
    </rPh>
    <phoneticPr fontId="6"/>
  </si>
  <si>
    <t>13:10～
　　14:10</t>
    <phoneticPr fontId="6"/>
  </si>
  <si>
    <t>小学生</t>
    <rPh sb="0" eb="3">
      <t>ショウガクセイ</t>
    </rPh>
    <phoneticPr fontId="6"/>
  </si>
  <si>
    <t>初級～
初中級</t>
    <rPh sb="0" eb="2">
      <t>ショキュウ</t>
    </rPh>
    <rPh sb="4" eb="7">
      <t>ショチュウキュウ</t>
    </rPh>
    <phoneticPr fontId="6"/>
  </si>
  <si>
    <t>振替枠等
（小）</t>
    <rPh sb="0" eb="2">
      <t>フリカエ</t>
    </rPh>
    <rPh sb="2" eb="3">
      <t>ワク</t>
    </rPh>
    <rPh sb="3" eb="4">
      <t>ナド</t>
    </rPh>
    <rPh sb="6" eb="7">
      <t>ショウ</t>
    </rPh>
    <phoneticPr fontId="6"/>
  </si>
  <si>
    <t>14:20～
　　15:50</t>
    <phoneticPr fontId="6"/>
  </si>
  <si>
    <t>振替枠等
（中）</t>
    <rPh sb="0" eb="2">
      <t>フリカエ</t>
    </rPh>
    <rPh sb="2" eb="3">
      <t>ワク</t>
    </rPh>
    <rPh sb="3" eb="4">
      <t>ナド</t>
    </rPh>
    <rPh sb="6" eb="7">
      <t>ナカ</t>
    </rPh>
    <phoneticPr fontId="6"/>
  </si>
  <si>
    <t>17:００～
　20:45</t>
    <phoneticPr fontId="6"/>
  </si>
  <si>
    <t>人材育成偏※</t>
    <rPh sb="0" eb="2">
      <t>ジンザイ</t>
    </rPh>
    <rPh sb="2" eb="5">
      <t>イクセイヘン</t>
    </rPh>
    <phoneticPr fontId="6"/>
  </si>
  <si>
    <t>注意事項</t>
    <rPh sb="0" eb="2">
      <t>チュウイ</t>
    </rPh>
    <rPh sb="2" eb="4">
      <t>ジコウ</t>
    </rPh>
    <phoneticPr fontId="6"/>
  </si>
  <si>
    <t>毎月の予定はＷｅｂサイトにて更新</t>
    <rPh sb="0" eb="2">
      <t>マイツキ</t>
    </rPh>
    <rPh sb="3" eb="5">
      <t>ヨテイ</t>
    </rPh>
    <rPh sb="14" eb="16">
      <t>コウシン</t>
    </rPh>
    <phoneticPr fontId="6"/>
  </si>
  <si>
    <t>夏本番です！気温湿度も高く熱中症対策を徹底しましょう！
こまめな水分（１５～２０分に１回、一口、大量に一度に飲まない）休憩時間は日陰で休む！
メリハリ（切換）をつけて体力をつけていこう</t>
    <rPh sb="0" eb="3">
      <t>ナツホンバン</t>
    </rPh>
    <rPh sb="6" eb="8">
      <t>キオン</t>
    </rPh>
    <rPh sb="8" eb="10">
      <t>シツド</t>
    </rPh>
    <rPh sb="11" eb="12">
      <t>タカ</t>
    </rPh>
    <rPh sb="13" eb="16">
      <t>ネッチュウショウ</t>
    </rPh>
    <rPh sb="16" eb="18">
      <t>タイサク</t>
    </rPh>
    <rPh sb="19" eb="21">
      <t>テッテイ</t>
    </rPh>
    <rPh sb="32" eb="34">
      <t>スイブン</t>
    </rPh>
    <rPh sb="40" eb="41">
      <t>フン</t>
    </rPh>
    <rPh sb="43" eb="44">
      <t>カイ</t>
    </rPh>
    <rPh sb="45" eb="47">
      <t>ヒトクチ</t>
    </rPh>
    <rPh sb="48" eb="50">
      <t>タイリョウ</t>
    </rPh>
    <rPh sb="51" eb="53">
      <t>イチド</t>
    </rPh>
    <rPh sb="54" eb="55">
      <t>ノ</t>
    </rPh>
    <rPh sb="59" eb="61">
      <t>キュウケイ</t>
    </rPh>
    <rPh sb="61" eb="63">
      <t>ジカン</t>
    </rPh>
    <rPh sb="64" eb="66">
      <t>ヒカゲ</t>
    </rPh>
    <rPh sb="67" eb="68">
      <t>ヤス</t>
    </rPh>
    <rPh sb="76" eb="78">
      <t>キリカエ</t>
    </rPh>
    <rPh sb="83" eb="85">
      <t>タイリョク</t>
    </rPh>
    <phoneticPr fontId="6"/>
  </si>
  <si>
    <r>
      <rPr>
        <sz val="14"/>
        <rFont val="Meiryo UI"/>
        <family val="3"/>
        <charset val="128"/>
      </rPr>
      <t>小中合同クラス</t>
    </r>
    <r>
      <rPr>
        <sz val="10"/>
        <rFont val="Meiryo UI"/>
        <family val="3"/>
        <charset val="128"/>
      </rPr>
      <t xml:space="preserve">
９：００～１０：００
</t>
    </r>
    <r>
      <rPr>
        <sz val="14"/>
        <rFont val="Meiryo UI"/>
        <family val="3"/>
        <charset val="128"/>
      </rPr>
      <t>中学生：</t>
    </r>
    <r>
      <rPr>
        <sz val="11"/>
        <rFont val="Meiryo UI"/>
        <family val="3"/>
        <charset val="128"/>
      </rPr>
      <t xml:space="preserve">
１０：３０～１２：００</t>
    </r>
    <rPh sb="0" eb="1">
      <t>ショウ</t>
    </rPh>
    <rPh sb="1" eb="2">
      <t>ナカ</t>
    </rPh>
    <rPh sb="2" eb="4">
      <t>ゴウドウ</t>
    </rPh>
    <rPh sb="19" eb="20">
      <t>ナカ</t>
    </rPh>
    <phoneticPr fontId="13"/>
  </si>
  <si>
    <t>メリハリ⇒休憩＆回復力</t>
    <rPh sb="5" eb="7">
      <t>キュウケイ</t>
    </rPh>
    <rPh sb="8" eb="10">
      <t>カイフク</t>
    </rPh>
    <rPh sb="10" eb="11">
      <t>チカラ</t>
    </rPh>
    <phoneticPr fontId="6"/>
  </si>
  <si>
    <t>夏本番です！気温湿度も高く熱中症対策を徹底しましょう！
こまめな水分（１５～２０分に１回、一口、大量に一度に飲まない）休憩時間は日陰で休む！
メリハリをつけて体力をつけていこう</t>
    <rPh sb="0" eb="3">
      <t>ナツホンバン</t>
    </rPh>
    <rPh sb="6" eb="8">
      <t>キオン</t>
    </rPh>
    <rPh sb="8" eb="10">
      <t>シツド</t>
    </rPh>
    <rPh sb="11" eb="12">
      <t>タカ</t>
    </rPh>
    <rPh sb="13" eb="16">
      <t>ネッチュウショウ</t>
    </rPh>
    <rPh sb="16" eb="18">
      <t>タイサク</t>
    </rPh>
    <rPh sb="19" eb="21">
      <t>テッテイ</t>
    </rPh>
    <rPh sb="32" eb="34">
      <t>スイブン</t>
    </rPh>
    <rPh sb="40" eb="41">
      <t>フン</t>
    </rPh>
    <rPh sb="43" eb="44">
      <t>カイ</t>
    </rPh>
    <rPh sb="45" eb="47">
      <t>ヒトクチ</t>
    </rPh>
    <rPh sb="48" eb="50">
      <t>タイリョウ</t>
    </rPh>
    <rPh sb="51" eb="53">
      <t>イチド</t>
    </rPh>
    <rPh sb="54" eb="55">
      <t>ノ</t>
    </rPh>
    <rPh sb="59" eb="61">
      <t>キュウケイ</t>
    </rPh>
    <rPh sb="61" eb="63">
      <t>ジカン</t>
    </rPh>
    <rPh sb="64" eb="66">
      <t>ヒカゲ</t>
    </rPh>
    <rPh sb="67" eb="68">
      <t>ヤス</t>
    </rPh>
    <rPh sb="79" eb="81">
      <t>タイリョク</t>
    </rPh>
    <phoneticPr fontId="6"/>
  </si>
  <si>
    <t>テーマ</t>
  </si>
  <si>
    <t>残暑から秋に向かい、スポーツ、読書、勉強、旅行と何をやっても気持ちい気候ですね！
夏の酷暑で体力が落ちたところ或いは逆についた体力？含め体力作りをしていきましょう！そして色々なジャンルを楽しんで行きましょう！俊敏性は何も体を早く反応させるだけではないですから（笑）
こまめな水分（１５～２０分に１回、一口、大量に一度に飲まない）休憩時間は日陰で休む！</t>
    <rPh sb="0" eb="2">
      <t>ザンショ</t>
    </rPh>
    <rPh sb="4" eb="5">
      <t>アキ</t>
    </rPh>
    <rPh sb="6" eb="7">
      <t>ム</t>
    </rPh>
    <rPh sb="15" eb="17">
      <t>ドクショ</t>
    </rPh>
    <rPh sb="18" eb="20">
      <t>ベンキョウ</t>
    </rPh>
    <rPh sb="21" eb="23">
      <t>リョコウ</t>
    </rPh>
    <rPh sb="24" eb="25">
      <t>ナニ</t>
    </rPh>
    <rPh sb="30" eb="32">
      <t>キモ</t>
    </rPh>
    <rPh sb="34" eb="36">
      <t>キコウ</t>
    </rPh>
    <rPh sb="41" eb="42">
      <t>ナツ</t>
    </rPh>
    <rPh sb="43" eb="45">
      <t>コクショ</t>
    </rPh>
    <rPh sb="46" eb="48">
      <t>タイリョク</t>
    </rPh>
    <rPh sb="49" eb="50">
      <t>オ</t>
    </rPh>
    <rPh sb="55" eb="56">
      <t>アル</t>
    </rPh>
    <rPh sb="58" eb="59">
      <t>ギャク</t>
    </rPh>
    <rPh sb="63" eb="65">
      <t>タイリョク</t>
    </rPh>
    <rPh sb="66" eb="67">
      <t>フク</t>
    </rPh>
    <rPh sb="68" eb="70">
      <t>タイリョク</t>
    </rPh>
    <rPh sb="70" eb="71">
      <t>ツク</t>
    </rPh>
    <rPh sb="85" eb="87">
      <t>イロイロ</t>
    </rPh>
    <rPh sb="93" eb="94">
      <t>タノ</t>
    </rPh>
    <rPh sb="97" eb="98">
      <t>イ</t>
    </rPh>
    <rPh sb="104" eb="107">
      <t>シュンビンセイ</t>
    </rPh>
    <rPh sb="108" eb="109">
      <t>ナニ</t>
    </rPh>
    <rPh sb="110" eb="111">
      <t>カラダ</t>
    </rPh>
    <rPh sb="112" eb="113">
      <t>ハヤ</t>
    </rPh>
    <rPh sb="114" eb="116">
      <t>ハンノウ</t>
    </rPh>
    <rPh sb="129" eb="132">
      <t>ワライ</t>
    </rPh>
    <rPh sb="137" eb="139">
      <t>スイブン</t>
    </rPh>
    <rPh sb="145" eb="146">
      <t>フン</t>
    </rPh>
    <rPh sb="148" eb="149">
      <t>カイ</t>
    </rPh>
    <rPh sb="150" eb="152">
      <t>ヒトクチ</t>
    </rPh>
    <rPh sb="153" eb="155">
      <t>タイリョウ</t>
    </rPh>
    <rPh sb="156" eb="158">
      <t>イチド</t>
    </rPh>
    <rPh sb="159" eb="160">
      <t>ノ</t>
    </rPh>
    <rPh sb="164" eb="166">
      <t>キュウケイ</t>
    </rPh>
    <rPh sb="166" eb="168">
      <t>ジカン</t>
    </rPh>
    <rPh sb="169" eb="171">
      <t>ヒカゲ</t>
    </rPh>
    <rPh sb="172" eb="173">
      <t>ヤス</t>
    </rPh>
    <phoneticPr fontId="6"/>
  </si>
  <si>
    <r>
      <rPr>
        <sz val="14"/>
        <color rgb="FFFF0000"/>
        <rFont val="Meiryo UI"/>
        <family val="3"/>
        <charset val="128"/>
      </rPr>
      <t>小中合同クラス</t>
    </r>
    <r>
      <rPr>
        <sz val="10"/>
        <color rgb="FFFF0000"/>
        <rFont val="Meiryo UI"/>
        <family val="3"/>
        <charset val="128"/>
      </rPr>
      <t xml:space="preserve">
１３:１０～１４：１０
</t>
    </r>
    <r>
      <rPr>
        <sz val="16"/>
        <color rgb="FFFF0000"/>
        <rFont val="Meiryo UI"/>
        <family val="3"/>
        <charset val="128"/>
      </rPr>
      <t>小学生</t>
    </r>
    <r>
      <rPr>
        <sz val="11"/>
        <color rgb="FFFF0000"/>
        <rFont val="Meiryo UI"/>
        <family val="3"/>
        <charset val="128"/>
      </rPr>
      <t xml:space="preserve">
１４：２０～１５：２０
</t>
    </r>
    <rPh sb="0" eb="1">
      <t>ショウ</t>
    </rPh>
    <rPh sb="1" eb="2">
      <t>ナカ</t>
    </rPh>
    <rPh sb="2" eb="4">
      <t>ゴウドウ</t>
    </rPh>
    <rPh sb="20" eb="23">
      <t>ショウガクセイ</t>
    </rPh>
    <phoneticPr fontId="13"/>
  </si>
  <si>
    <t>体力増強＆俊敏性向上</t>
    <rPh sb="0" eb="2">
      <t>タイリョク</t>
    </rPh>
    <rPh sb="2" eb="4">
      <t>ゾウキョウ</t>
    </rPh>
    <rPh sb="5" eb="8">
      <t>シュンビンセイ</t>
    </rPh>
    <rPh sb="8" eb="10">
      <t>コウジョウ</t>
    </rPh>
    <phoneticPr fontId="6"/>
  </si>
  <si>
    <t>●●の秋／あなたは●●をどうしたい</t>
    <rPh sb="3" eb="4">
      <t>アキ</t>
    </rPh>
    <phoneticPr fontId="6"/>
  </si>
  <si>
    <t>スポーツ・読書・勉強・食欲・遊びの秋　何よやるにも心地良い季節ですね！
運動会の季節でもある！徒競走の準備、ダンスの振り付けマスターなど色々ありそう！
合唱コンクールに向けての発生連数でもいいかも！色々と楽しんでしまおう（笑）</t>
    <rPh sb="5" eb="7">
      <t>ドクショ</t>
    </rPh>
    <rPh sb="8" eb="10">
      <t>ベンキョウ</t>
    </rPh>
    <rPh sb="11" eb="13">
      <t>ショクヨク</t>
    </rPh>
    <rPh sb="14" eb="15">
      <t>アソ</t>
    </rPh>
    <rPh sb="17" eb="18">
      <t>アキ</t>
    </rPh>
    <rPh sb="19" eb="20">
      <t>ナニ</t>
    </rPh>
    <rPh sb="36" eb="38">
      <t>ウンドウ</t>
    </rPh>
    <rPh sb="38" eb="39">
      <t>カイ</t>
    </rPh>
    <rPh sb="40" eb="42">
      <t>キセツ</t>
    </rPh>
    <rPh sb="47" eb="50">
      <t>トキョウソウ</t>
    </rPh>
    <rPh sb="51" eb="53">
      <t>ジュンビ</t>
    </rPh>
    <rPh sb="58" eb="59">
      <t>フ</t>
    </rPh>
    <rPh sb="60" eb="61">
      <t>ツ</t>
    </rPh>
    <rPh sb="68" eb="70">
      <t>イロイロ</t>
    </rPh>
    <rPh sb="76" eb="78">
      <t>ガッショウ</t>
    </rPh>
    <rPh sb="84" eb="85">
      <t>ム</t>
    </rPh>
    <rPh sb="88" eb="90">
      <t>ハッセイ</t>
    </rPh>
    <rPh sb="90" eb="92">
      <t>レンスウ</t>
    </rPh>
    <rPh sb="99" eb="101">
      <t>イロイロ</t>
    </rPh>
    <rPh sb="102" eb="103">
      <t>タノ</t>
    </rPh>
    <rPh sb="110" eb="113">
      <t>ワライ</t>
    </rPh>
    <phoneticPr fontId="6"/>
  </si>
  <si>
    <t>コンディショニングトレーング</t>
    <phoneticPr fontId="6"/>
  </si>
  <si>
    <r>
      <t>持久力（遅筋）を鍛える（12～</t>
    </r>
    <r>
      <rPr>
        <sz val="24"/>
        <rFont val="Meiryo UI"/>
        <family val="3"/>
      </rPr>
      <t>2</t>
    </r>
    <r>
      <rPr>
        <sz val="24"/>
        <rFont val="Meiryo UI"/>
        <family val="3"/>
        <charset val="128"/>
      </rPr>
      <t>月）</t>
    </r>
    <rPh sb="0" eb="3">
      <t>ジキュウリョク</t>
    </rPh>
    <rPh sb="4" eb="6">
      <t>チキン</t>
    </rPh>
    <rPh sb="8" eb="9">
      <t>キタ</t>
    </rPh>
    <rPh sb="16" eb="17">
      <t>ツキ</t>
    </rPh>
    <phoneticPr fontId="6"/>
  </si>
  <si>
    <t>冬季（１２～２月目安）
主に遅筋（持久力）トレーニング、有酸素運動等を行います
持久走、縄跳び、サッカー、ラグビー（パス回し）、低負荷且つスロー筋肉トレーニング等を取り組む</t>
    <rPh sb="14" eb="16">
      <t>チキン</t>
    </rPh>
    <rPh sb="40" eb="43">
      <t>ジキュウソウ</t>
    </rPh>
    <rPh sb="44" eb="46">
      <t>ナワト</t>
    </rPh>
    <rPh sb="60" eb="61">
      <t>マワ</t>
    </rPh>
    <rPh sb="64" eb="67">
      <t>テイフカ</t>
    </rPh>
    <rPh sb="67" eb="68">
      <t>カ</t>
    </rPh>
    <rPh sb="72" eb="74">
      <t>キンニク</t>
    </rPh>
    <rPh sb="80" eb="81">
      <t>ナド</t>
    </rPh>
    <rPh sb="82" eb="83">
      <t>ト</t>
    </rPh>
    <rPh sb="84" eb="85">
      <t>ク</t>
    </rPh>
    <phoneticPr fontId="6"/>
  </si>
  <si>
    <t>・</t>
    <phoneticPr fontId="50"/>
  </si>
  <si>
    <t>災害時等、甲の責に帰さない場合はレッスンを中止とします。その場合は原則、当該月の翌月迄に振替受講下さい。</t>
    <rPh sb="0" eb="3">
      <t>サイガイジ</t>
    </rPh>
    <rPh sb="3" eb="4">
      <t>ナド</t>
    </rPh>
    <rPh sb="5" eb="6">
      <t>コウ</t>
    </rPh>
    <rPh sb="7" eb="8">
      <t>セキ</t>
    </rPh>
    <rPh sb="9" eb="10">
      <t>カエ</t>
    </rPh>
    <rPh sb="13" eb="15">
      <t>バアイ</t>
    </rPh>
    <rPh sb="21" eb="23">
      <t>チュウシ</t>
    </rPh>
    <rPh sb="30" eb="32">
      <t>バアイ</t>
    </rPh>
    <rPh sb="33" eb="35">
      <t>ゲンソク</t>
    </rPh>
    <rPh sb="36" eb="38">
      <t>トウガイ</t>
    </rPh>
    <rPh sb="38" eb="39">
      <t>ツキ</t>
    </rPh>
    <rPh sb="40" eb="42">
      <t>ヨクゲツ</t>
    </rPh>
    <rPh sb="42" eb="43">
      <t>マデ</t>
    </rPh>
    <rPh sb="44" eb="46">
      <t>フリカエ</t>
    </rPh>
    <rPh sb="46" eb="48">
      <t>ジュコウ</t>
    </rPh>
    <rPh sb="48" eb="49">
      <t>クダ</t>
    </rPh>
    <phoneticPr fontId="50"/>
  </si>
  <si>
    <t>合同クラスは、運動能力と集団行動等の規律性向上を目的とします。特定競技の強化はありません。</t>
    <rPh sb="0" eb="2">
      <t>ゴウドウ</t>
    </rPh>
    <rPh sb="16" eb="17">
      <t>ナド</t>
    </rPh>
    <rPh sb="21" eb="23">
      <t>コウジョウ</t>
    </rPh>
    <rPh sb="24" eb="26">
      <t>モクテキ</t>
    </rPh>
    <rPh sb="31" eb="33">
      <t>トクテイ</t>
    </rPh>
    <rPh sb="33" eb="35">
      <t>キョウギ</t>
    </rPh>
    <rPh sb="36" eb="38">
      <t>キョウカ</t>
    </rPh>
    <phoneticPr fontId="50"/>
  </si>
  <si>
    <t>活動場所は学校活動が優先となるためその場合は予定は変更となります。その際は別途会員様へご連絡致します。</t>
    <rPh sb="0" eb="2">
      <t>カツドウ</t>
    </rPh>
    <rPh sb="2" eb="4">
      <t>バショ</t>
    </rPh>
    <rPh sb="5" eb="7">
      <t>ガッコウ</t>
    </rPh>
    <rPh sb="7" eb="9">
      <t>カツドウ</t>
    </rPh>
    <rPh sb="10" eb="12">
      <t>ユウセン</t>
    </rPh>
    <rPh sb="19" eb="21">
      <t>バアイ</t>
    </rPh>
    <rPh sb="22" eb="24">
      <t>ヨテイ</t>
    </rPh>
    <rPh sb="25" eb="27">
      <t>ヘンコウ</t>
    </rPh>
    <rPh sb="35" eb="36">
      <t>サイ</t>
    </rPh>
    <rPh sb="37" eb="39">
      <t>ベット</t>
    </rPh>
    <rPh sb="39" eb="41">
      <t>カイイン</t>
    </rPh>
    <rPh sb="41" eb="42">
      <t>サマ</t>
    </rPh>
    <rPh sb="44" eb="46">
      <t>レンラク</t>
    </rPh>
    <rPh sb="46" eb="47">
      <t>イタ</t>
    </rPh>
    <phoneticPr fontId="50"/>
  </si>
  <si>
    <t>注意事項</t>
    <rPh sb="0" eb="2">
      <t>チュウイ</t>
    </rPh>
    <rPh sb="2" eb="4">
      <t>ジコウ</t>
    </rPh>
    <phoneticPr fontId="50"/>
  </si>
  <si>
    <t>本牧中　or
大鳥中
コミニティハウス</t>
    <rPh sb="0" eb="2">
      <t>ホンモク</t>
    </rPh>
    <rPh sb="2" eb="3">
      <t>ナカ</t>
    </rPh>
    <rPh sb="7" eb="9">
      <t>オオトリ</t>
    </rPh>
    <rPh sb="9" eb="10">
      <t>ナカ</t>
    </rPh>
    <phoneticPr fontId="50"/>
  </si>
  <si>
    <t>17:００～20:45</t>
    <phoneticPr fontId="50"/>
  </si>
  <si>
    <t>10:30～12:00</t>
    <phoneticPr fontId="50"/>
  </si>
  <si>
    <t>合同</t>
    <rPh sb="0" eb="2">
      <t>ゴウドウ</t>
    </rPh>
    <phoneticPr fontId="50"/>
  </si>
  <si>
    <t>9:00～10:00</t>
    <phoneticPr fontId="50"/>
  </si>
  <si>
    <t>レベル</t>
    <phoneticPr fontId="50"/>
  </si>
  <si>
    <t>クラス</t>
    <phoneticPr fontId="50"/>
  </si>
  <si>
    <t>活動
施設</t>
    <rPh sb="0" eb="2">
      <t>カツドウ</t>
    </rPh>
    <rPh sb="3" eb="5">
      <t>シセツ</t>
    </rPh>
    <phoneticPr fontId="50"/>
  </si>
  <si>
    <t>時間</t>
    <rPh sb="0" eb="2">
      <t>ジカン</t>
    </rPh>
    <phoneticPr fontId="50"/>
  </si>
  <si>
    <t>日</t>
  </si>
  <si>
    <t>土</t>
  </si>
  <si>
    <t>テニス</t>
    <phoneticPr fontId="50"/>
  </si>
  <si>
    <t>特別学習コース※</t>
    <rPh sb="0" eb="2">
      <t>トクベツ</t>
    </rPh>
    <rPh sb="2" eb="4">
      <t>ガクシュウ</t>
    </rPh>
    <phoneticPr fontId="50"/>
  </si>
  <si>
    <t>※オンライン受講も対応中</t>
    <rPh sb="6" eb="8">
      <t>ジュコウ</t>
    </rPh>
    <rPh sb="9" eb="11">
      <t>タイオウ</t>
    </rPh>
    <rPh sb="11" eb="12">
      <t>ナカ</t>
    </rPh>
    <phoneticPr fontId="6"/>
  </si>
  <si>
    <t>ベイサイド本牧スポーツアカデミー／基本週間活動予定</t>
    <rPh sb="5" eb="7">
      <t>ホンモク</t>
    </rPh>
    <rPh sb="17" eb="19">
      <t>キホン</t>
    </rPh>
    <rPh sb="19" eb="21">
      <t>シュウカン</t>
    </rPh>
    <rPh sb="21" eb="23">
      <t>カツドウ</t>
    </rPh>
    <rPh sb="23" eb="25">
      <t>ヨテイ</t>
    </rPh>
    <phoneticPr fontId="50"/>
  </si>
  <si>
    <r>
      <rPr>
        <sz val="14"/>
        <rFont val="Meiryo UI"/>
        <family val="3"/>
        <charset val="128"/>
      </rPr>
      <t>小中合同クラス</t>
    </r>
    <r>
      <rPr>
        <sz val="10"/>
        <rFont val="Meiryo UI"/>
        <family val="3"/>
        <charset val="128"/>
      </rPr>
      <t xml:space="preserve">
９：００～１０：００
</t>
    </r>
    <r>
      <rPr>
        <sz val="14"/>
        <rFont val="Meiryo UI"/>
        <family val="3"/>
        <charset val="128"/>
      </rPr>
      <t>テニスクラス</t>
    </r>
    <r>
      <rPr>
        <sz val="11"/>
        <rFont val="Meiryo UI"/>
        <family val="3"/>
        <charset val="128"/>
      </rPr>
      <t xml:space="preserve">
１０：３０～１２：００</t>
    </r>
    <rPh sb="0" eb="1">
      <t>ショウ</t>
    </rPh>
    <rPh sb="1" eb="2">
      <t>ナカ</t>
    </rPh>
    <rPh sb="2" eb="4">
      <t>ゴウドウ</t>
    </rPh>
    <phoneticPr fontId="13"/>
  </si>
  <si>
    <r>
      <rPr>
        <sz val="14"/>
        <rFont val="Meiryo UI"/>
        <family val="3"/>
        <charset val="128"/>
      </rPr>
      <t>小中合同クラス</t>
    </r>
    <r>
      <rPr>
        <sz val="10"/>
        <rFont val="Meiryo UI"/>
        <family val="3"/>
        <charset val="128"/>
      </rPr>
      <t xml:space="preserve">
１３：１０～１４：１０
</t>
    </r>
    <r>
      <rPr>
        <sz val="14"/>
        <rFont val="Meiryo UI"/>
        <family val="3"/>
        <charset val="128"/>
      </rPr>
      <t>テニスクラス</t>
    </r>
    <r>
      <rPr>
        <sz val="11"/>
        <rFont val="Meiryo UI"/>
        <family val="3"/>
        <charset val="128"/>
      </rPr>
      <t xml:space="preserve">
１４：３０～１６：００</t>
    </r>
    <rPh sb="0" eb="1">
      <t>ショウ</t>
    </rPh>
    <rPh sb="1" eb="2">
      <t>ナカ</t>
    </rPh>
    <rPh sb="2" eb="4">
      <t>ゴウドウ</t>
    </rPh>
    <phoneticPr fontId="13"/>
  </si>
  <si>
    <t>ゲーミケーション　傾聴力・集中力・判断力</t>
    <rPh sb="9" eb="12">
      <t>ケイチョウリョク</t>
    </rPh>
    <rPh sb="13" eb="16">
      <t>シュウチュウリョク</t>
    </rPh>
    <rPh sb="17" eb="19">
      <t>ハンダン</t>
    </rPh>
    <rPh sb="19" eb="20">
      <t>リョク</t>
    </rPh>
    <phoneticPr fontId="6"/>
  </si>
  <si>
    <t>新年度に向けて新しい仲間も増える？この時期
参加でゲームでしながらコミュニケーションを取りながら楽しんで行きましょう！
ゲームのルール説明はしっかり聞こうね！</t>
    <rPh sb="0" eb="3">
      <t>シンネンド</t>
    </rPh>
    <rPh sb="4" eb="5">
      <t>ム</t>
    </rPh>
    <rPh sb="7" eb="8">
      <t>アタラ</t>
    </rPh>
    <rPh sb="10" eb="12">
      <t>ナカマ</t>
    </rPh>
    <rPh sb="13" eb="14">
      <t>フ</t>
    </rPh>
    <rPh sb="19" eb="21">
      <t>ジキ</t>
    </rPh>
    <rPh sb="22" eb="24">
      <t>サンカ</t>
    </rPh>
    <rPh sb="43" eb="44">
      <t>ト</t>
    </rPh>
    <rPh sb="48" eb="49">
      <t>タノ</t>
    </rPh>
    <rPh sb="52" eb="53">
      <t>イ</t>
    </rPh>
    <rPh sb="67" eb="69">
      <t>セツメイ</t>
    </rPh>
    <rPh sb="74" eb="75">
      <t>キ</t>
    </rPh>
    <phoneticPr fontId="6"/>
  </si>
  <si>
    <r>
      <rPr>
        <strike/>
        <sz val="14"/>
        <rFont val="Meiryo UI"/>
        <family val="3"/>
        <charset val="128"/>
      </rPr>
      <t>小中合同クラス</t>
    </r>
    <r>
      <rPr>
        <strike/>
        <sz val="10"/>
        <rFont val="Meiryo UI"/>
        <family val="3"/>
        <charset val="128"/>
      </rPr>
      <t xml:space="preserve">
９：００～１０：００
</t>
    </r>
    <r>
      <rPr>
        <strike/>
        <sz val="14"/>
        <rFont val="Meiryo UI"/>
        <family val="3"/>
        <charset val="128"/>
      </rPr>
      <t>テニスクラス</t>
    </r>
    <r>
      <rPr>
        <strike/>
        <sz val="11"/>
        <rFont val="Meiryo UI"/>
        <family val="3"/>
        <charset val="128"/>
      </rPr>
      <t xml:space="preserve">
１０：３０～１２：００</t>
    </r>
    <rPh sb="0" eb="1">
      <t>ショウ</t>
    </rPh>
    <rPh sb="1" eb="2">
      <t>ナカ</t>
    </rPh>
    <rPh sb="2" eb="4">
      <t>ゴウドウ</t>
    </rPh>
    <phoneticPr fontId="13"/>
  </si>
  <si>
    <t>合同クラス
9～10ｈ
テニスクラス
10：30～12：00</t>
    <rPh sb="0" eb="2">
      <t>ゴウドウ</t>
    </rPh>
    <phoneticPr fontId="6"/>
  </si>
  <si>
    <r>
      <rPr>
        <sz val="14"/>
        <rFont val="Meiryo UI"/>
        <family val="3"/>
        <charset val="128"/>
      </rPr>
      <t>テニスクラス</t>
    </r>
    <r>
      <rPr>
        <sz val="11"/>
        <rFont val="Meiryo UI"/>
        <family val="3"/>
        <charset val="128"/>
      </rPr>
      <t xml:space="preserve">
１４：0０～１８：００
体験会</t>
    </r>
    <rPh sb="19" eb="22">
      <t>タイケンカイ</t>
    </rPh>
    <phoneticPr fontId="13"/>
  </si>
  <si>
    <t>新年度スタート：リアルゲームでコミュニケーションを取りながら楽しんで行きましょう！
ゲームのルール説明はしっかり聞こう！</t>
    <rPh sb="0" eb="3">
      <t>シンネンド</t>
    </rPh>
    <rPh sb="25" eb="26">
      <t>ト</t>
    </rPh>
    <rPh sb="30" eb="31">
      <t>タノ</t>
    </rPh>
    <rPh sb="34" eb="35">
      <t>イ</t>
    </rPh>
    <rPh sb="49" eb="51">
      <t>セツメイ</t>
    </rPh>
    <rPh sb="56" eb="57">
      <t>キ</t>
    </rPh>
    <phoneticPr fontId="6"/>
  </si>
  <si>
    <t>テニスクラス
９：0０～１２：００
体験会</t>
    <rPh sb="18" eb="21">
      <t>タイケンカイ</t>
    </rPh>
    <phoneticPr fontId="13"/>
  </si>
  <si>
    <t>テニスクラス
13:30～17:00
体験会</t>
    <rPh sb="19" eb="22">
      <t>タイケンカイ</t>
    </rPh>
    <phoneticPr fontId="13"/>
  </si>
  <si>
    <t>ゲーミケーション　傾聴力・集中力・判断力／フットワーク・キャッチ・ラケットワーク</t>
    <rPh sb="9" eb="12">
      <t>ケイチョウリョク</t>
    </rPh>
    <rPh sb="13" eb="16">
      <t>シュウチュウリョク</t>
    </rPh>
    <rPh sb="17" eb="19">
      <t>ハンダン</t>
    </rPh>
    <rPh sb="19" eb="20">
      <t>リョク</t>
    </rPh>
    <phoneticPr fontId="6"/>
  </si>
  <si>
    <t>学校教育法
による部活動</t>
    <rPh sb="0" eb="2">
      <t>ガッコウ</t>
    </rPh>
    <rPh sb="2" eb="4">
      <t>キョウイク</t>
    </rPh>
    <rPh sb="4" eb="5">
      <t>ホウ</t>
    </rPh>
    <rPh sb="9" eb="12">
      <t>ブカツドウ</t>
    </rPh>
    <phoneticPr fontId="6"/>
  </si>
  <si>
    <t>小６～
中３</t>
    <rPh sb="0" eb="1">
      <t>ショウ</t>
    </rPh>
    <rPh sb="4" eb="5">
      <t>ナカ</t>
    </rPh>
    <phoneticPr fontId="6"/>
  </si>
  <si>
    <t>12:00～13:00</t>
    <phoneticPr fontId="50"/>
  </si>
  <si>
    <t>13:00～14:00</t>
    <phoneticPr fontId="50"/>
  </si>
  <si>
    <t>14:00～15:00</t>
    <phoneticPr fontId="50"/>
  </si>
  <si>
    <t>15:00～16:00</t>
    <phoneticPr fontId="50"/>
  </si>
  <si>
    <t>16:00～17:00</t>
    <phoneticPr fontId="50"/>
  </si>
  <si>
    <t>学校開放事業枠</t>
    <rPh sb="0" eb="2">
      <t>ガッコウ</t>
    </rPh>
    <rPh sb="2" eb="4">
      <t>カイホウ</t>
    </rPh>
    <rPh sb="4" eb="6">
      <t>ジギョウ</t>
    </rPh>
    <rPh sb="6" eb="7">
      <t>ワク</t>
    </rPh>
    <phoneticPr fontId="6"/>
  </si>
  <si>
    <t>大鳥中学校
テニスコート</t>
    <rPh sb="0" eb="2">
      <t>オオトリ</t>
    </rPh>
    <rPh sb="2" eb="3">
      <t>ナカ</t>
    </rPh>
    <rPh sb="3" eb="5">
      <t>ガッコウ</t>
    </rPh>
    <phoneticPr fontId="50"/>
  </si>
  <si>
    <t>悪天候時は、振替当該月の翌月迄に振替下さい。振替日時は別途学校開放事業内或いは別施設で行います。</t>
    <rPh sb="0" eb="3">
      <t>アクテンコウ</t>
    </rPh>
    <rPh sb="3" eb="4">
      <t>ジ</t>
    </rPh>
    <rPh sb="6" eb="8">
      <t>フリカエ</t>
    </rPh>
    <rPh sb="8" eb="10">
      <t>トウガイ</t>
    </rPh>
    <rPh sb="10" eb="11">
      <t>ヅキ</t>
    </rPh>
    <rPh sb="12" eb="14">
      <t>ヨクゲツ</t>
    </rPh>
    <rPh sb="14" eb="15">
      <t>マデ</t>
    </rPh>
    <rPh sb="16" eb="18">
      <t>フリカエ</t>
    </rPh>
    <rPh sb="18" eb="19">
      <t>クダ</t>
    </rPh>
    <rPh sb="22" eb="24">
      <t>フリカエ</t>
    </rPh>
    <rPh sb="24" eb="26">
      <t>ニチジ</t>
    </rPh>
    <rPh sb="27" eb="29">
      <t>ベット</t>
    </rPh>
    <rPh sb="29" eb="31">
      <t>ガッコウ</t>
    </rPh>
    <rPh sb="31" eb="33">
      <t>カイホウ</t>
    </rPh>
    <rPh sb="33" eb="35">
      <t>ジギョウ</t>
    </rPh>
    <rPh sb="35" eb="36">
      <t>ナイ</t>
    </rPh>
    <rPh sb="36" eb="37">
      <t>アル</t>
    </rPh>
    <rPh sb="39" eb="40">
      <t>ベツ</t>
    </rPh>
    <rPh sb="40" eb="42">
      <t>シセツ</t>
    </rPh>
    <rPh sb="43" eb="44">
      <t>オコナ</t>
    </rPh>
    <phoneticPr fontId="50"/>
  </si>
  <si>
    <t>HRacademy（脳科学、心理学、解剖学、栄養学、人生成功哲学等）</t>
    <rPh sb="10" eb="13">
      <t>ノウカガク</t>
    </rPh>
    <rPh sb="14" eb="17">
      <t>シンリガク</t>
    </rPh>
    <rPh sb="18" eb="21">
      <t>カイボウガク</t>
    </rPh>
    <rPh sb="22" eb="25">
      <t>エイヨウガク</t>
    </rPh>
    <rPh sb="26" eb="28">
      <t>ジンセイ</t>
    </rPh>
    <rPh sb="28" eb="30">
      <t>セイコウ</t>
    </rPh>
    <rPh sb="30" eb="32">
      <t>テツガク</t>
    </rPh>
    <rPh sb="32" eb="33">
      <t>ナド</t>
    </rPh>
    <phoneticPr fontId="6"/>
  </si>
  <si>
    <t>BusinessDesign（起業家教育）</t>
    <rPh sb="15" eb="18">
      <t>キギョウカ</t>
    </rPh>
    <rPh sb="18" eb="20">
      <t>キョウイク</t>
    </rPh>
    <phoneticPr fontId="6"/>
  </si>
  <si>
    <t>FinancialSchool（経済、金融）資産形成</t>
    <rPh sb="16" eb="18">
      <t>ケイザイ</t>
    </rPh>
    <rPh sb="19" eb="21">
      <t>キンユウ</t>
    </rPh>
    <rPh sb="22" eb="26">
      <t>シサンケイセイ</t>
    </rPh>
    <phoneticPr fontId="6"/>
  </si>
  <si>
    <t>特別学習コースはELSAが提供している人材育成カリキュラムの各種セミナーとなります。（別途費用）</t>
    <rPh sb="0" eb="2">
      <t>トクベツ</t>
    </rPh>
    <rPh sb="2" eb="4">
      <t>ガクシュウ</t>
    </rPh>
    <rPh sb="13" eb="15">
      <t>テイキョウ</t>
    </rPh>
    <rPh sb="19" eb="21">
      <t>ジンザイ</t>
    </rPh>
    <rPh sb="21" eb="23">
      <t>イクセイ</t>
    </rPh>
    <rPh sb="30" eb="32">
      <t>カクシュ</t>
    </rPh>
    <rPh sb="43" eb="45">
      <t>ベット</t>
    </rPh>
    <rPh sb="45" eb="47">
      <t>ヒヨウ</t>
    </rPh>
    <phoneticPr fontId="50"/>
  </si>
  <si>
    <t>４月に出来た事を振返り、自分のノートに記録した事を一つ一つ思い返してみよう。</t>
    <rPh sb="1" eb="2">
      <t>ツキ</t>
    </rPh>
    <rPh sb="3" eb="5">
      <t>デキ</t>
    </rPh>
    <rPh sb="6" eb="7">
      <t>コト</t>
    </rPh>
    <rPh sb="8" eb="10">
      <t>フリカエ</t>
    </rPh>
    <rPh sb="12" eb="14">
      <t>ジブン</t>
    </rPh>
    <rPh sb="19" eb="21">
      <t>キロク</t>
    </rPh>
    <rPh sb="23" eb="24">
      <t>コト</t>
    </rPh>
    <rPh sb="25" eb="26">
      <t>ヒト</t>
    </rPh>
    <rPh sb="27" eb="28">
      <t>ヒト</t>
    </rPh>
    <rPh sb="29" eb="30">
      <t>オモ</t>
    </rPh>
    <rPh sb="31" eb="32">
      <t>カエ</t>
    </rPh>
    <phoneticPr fontId="6"/>
  </si>
  <si>
    <r>
      <rPr>
        <sz val="14"/>
        <rFont val="Meiryo UI"/>
        <family val="3"/>
        <charset val="128"/>
      </rPr>
      <t>本牧地区センター
体育館予定
小中合同クラス</t>
    </r>
    <r>
      <rPr>
        <sz val="10"/>
        <rFont val="Meiryo UI"/>
        <family val="3"/>
        <charset val="128"/>
      </rPr>
      <t xml:space="preserve">
15：15～17：45</t>
    </r>
    <rPh sb="0" eb="2">
      <t>ホンモク</t>
    </rPh>
    <rPh sb="2" eb="4">
      <t>チク</t>
    </rPh>
    <rPh sb="9" eb="11">
      <t>タイイク</t>
    </rPh>
    <rPh sb="11" eb="12">
      <t>カン</t>
    </rPh>
    <rPh sb="12" eb="14">
      <t>ヨテイ</t>
    </rPh>
    <rPh sb="15" eb="16">
      <t>ショウ</t>
    </rPh>
    <rPh sb="16" eb="17">
      <t>ナカ</t>
    </rPh>
    <rPh sb="17" eb="19">
      <t>ゴウドウ</t>
    </rPh>
    <phoneticPr fontId="13"/>
  </si>
  <si>
    <t xml:space="preserve">9-12時
学校活動の為
休会
</t>
    <rPh sb="4" eb="5">
      <t>ジ</t>
    </rPh>
    <rPh sb="6" eb="8">
      <t>ガッコウ</t>
    </rPh>
    <rPh sb="8" eb="10">
      <t>カツドウ</t>
    </rPh>
    <rPh sb="11" eb="12">
      <t>タメ</t>
    </rPh>
    <rPh sb="13" eb="15">
      <t>キュウカイ</t>
    </rPh>
    <phoneticPr fontId="6"/>
  </si>
  <si>
    <t>特別クラス
（予定）</t>
    <rPh sb="0" eb="2">
      <t>トクベツ</t>
    </rPh>
    <rPh sb="7" eb="9">
      <t>ヨテイ</t>
    </rPh>
    <phoneticPr fontId="13"/>
  </si>
  <si>
    <t>Run＆Catch　➡メリハリ＆小まめな水分補給</t>
    <rPh sb="16" eb="17">
      <t>コ</t>
    </rPh>
    <rPh sb="20" eb="22">
      <t>スイブン</t>
    </rPh>
    <rPh sb="22" eb="24">
      <t>ホキュウ</t>
    </rPh>
    <phoneticPr fontId="6"/>
  </si>
  <si>
    <t>休み</t>
    <rPh sb="0" eb="1">
      <t>ヤス</t>
    </rPh>
    <phoneticPr fontId="6"/>
  </si>
  <si>
    <t>休会</t>
    <rPh sb="0" eb="2">
      <t>キュウカイ</t>
    </rPh>
    <phoneticPr fontId="6"/>
  </si>
  <si>
    <t>学校活動日の為、休会</t>
    <rPh sb="0" eb="2">
      <t>ガッコウ</t>
    </rPh>
    <rPh sb="2" eb="4">
      <t>カツドウ</t>
    </rPh>
    <rPh sb="4" eb="5">
      <t>ヒ</t>
    </rPh>
    <rPh sb="6" eb="7">
      <t>タメ</t>
    </rPh>
    <rPh sb="8" eb="10">
      <t>キュウカイ</t>
    </rPh>
    <phoneticPr fontId="6"/>
  </si>
  <si>
    <t>スポーツの日
地域スポーツ</t>
    <rPh sb="5" eb="6">
      <t>ヒ</t>
    </rPh>
    <rPh sb="7" eb="9">
      <t>チイキ</t>
    </rPh>
    <phoneticPr fontId="6"/>
  </si>
  <si>
    <t>冬に向けて体全身を効果的に刺激し、同時に脳も刺激してグッスリ寝れるように！
体力免疫力UP・脳活を確り行って行きましょう！笑！</t>
    <rPh sb="0" eb="1">
      <t>フユ</t>
    </rPh>
    <rPh sb="2" eb="3">
      <t>ム</t>
    </rPh>
    <rPh sb="30" eb="31">
      <t>ネ</t>
    </rPh>
    <rPh sb="38" eb="40">
      <t>タイリョク</t>
    </rPh>
    <rPh sb="40" eb="43">
      <t>メンエキリョク</t>
    </rPh>
    <rPh sb="46" eb="48">
      <t>ノウカツ</t>
    </rPh>
    <rPh sb="49" eb="50">
      <t>シッカ</t>
    </rPh>
    <rPh sb="51" eb="52">
      <t>オコナ</t>
    </rPh>
    <rPh sb="54" eb="55">
      <t>イ</t>
    </rPh>
    <rPh sb="61" eb="62">
      <t>ワライ</t>
    </rPh>
    <phoneticPr fontId="6"/>
  </si>
  <si>
    <r>
      <rPr>
        <sz val="14"/>
        <rFont val="Meiryo UI"/>
        <family val="3"/>
        <charset val="128"/>
      </rPr>
      <t>合同クラス</t>
    </r>
    <r>
      <rPr>
        <sz val="10"/>
        <rFont val="Meiryo UI"/>
        <family val="3"/>
        <charset val="128"/>
      </rPr>
      <t xml:space="preserve">
</t>
    </r>
    <r>
      <rPr>
        <sz val="11"/>
        <rFont val="Meiryo UI"/>
        <family val="3"/>
        <charset val="128"/>
      </rPr>
      <t>９：００～１０：００</t>
    </r>
    <r>
      <rPr>
        <sz val="10"/>
        <rFont val="Meiryo UI"/>
        <family val="3"/>
        <charset val="128"/>
      </rPr>
      <t xml:space="preserve">
</t>
    </r>
    <r>
      <rPr>
        <sz val="14"/>
        <rFont val="Meiryo UI"/>
        <family val="3"/>
        <charset val="128"/>
      </rPr>
      <t>テニスクラス</t>
    </r>
    <r>
      <rPr>
        <sz val="11"/>
        <rFont val="Meiryo UI"/>
        <family val="3"/>
        <charset val="128"/>
      </rPr>
      <t xml:space="preserve">
１０：３０～１２：００</t>
    </r>
    <rPh sb="0" eb="2">
      <t>ゴウドウ</t>
    </rPh>
    <phoneticPr fontId="13"/>
  </si>
  <si>
    <t>休み
学校部活動</t>
    <rPh sb="0" eb="1">
      <t>ヤス</t>
    </rPh>
    <rPh sb="4" eb="6">
      <t>ガッコウ</t>
    </rPh>
    <rPh sb="6" eb="9">
      <t>ブカツドウ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</si>
</sst>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d"/>
    <numFmt numFmtId="177" formatCode="mmmm\ yyyy"/>
    <numFmt numFmtId="178" formatCode="mmmm"/>
  </numFmts>
  <fonts count="60">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u/>
      <sz val="12"/>
      <color theme="10"/>
      <name val="Cambria"/>
      <family val="2"/>
      <scheme val="minor"/>
    </font>
    <font>
      <sz val="6"/>
      <name val="ＭＳ Ｐゴシック"/>
      <family val="3"/>
      <charset val="128"/>
      <scheme val="minor"/>
    </font>
    <font>
      <sz val="11"/>
      <name val="Meiryo UI"/>
      <family val="3"/>
      <charset val="128"/>
    </font>
    <font>
      <sz val="11"/>
      <color theme="8"/>
      <name val="Meiryo UI"/>
      <family val="3"/>
      <charset val="128"/>
    </font>
    <font>
      <sz val="12"/>
      <color theme="1"/>
      <name val="Meiryo UI"/>
      <family val="3"/>
      <charset val="128"/>
    </font>
    <font>
      <sz val="24"/>
      <color theme="8"/>
      <name val="Meiryo UI"/>
      <family val="3"/>
      <charset val="128"/>
    </font>
    <font>
      <sz val="40"/>
      <color theme="8"/>
      <name val="Meiryo UI"/>
      <family val="3"/>
      <charset val="128"/>
    </font>
    <font>
      <b/>
      <sz val="9"/>
      <color theme="8"/>
      <name val="Meiryo UI"/>
      <family val="3"/>
      <charset val="128"/>
    </font>
    <font>
      <sz val="28"/>
      <color theme="8" tint="-0.499984740745262"/>
      <name val="Meiryo UI"/>
      <family val="3"/>
      <charset val="128"/>
    </font>
    <font>
      <sz val="10"/>
      <name val="Meiryo UI"/>
      <family val="3"/>
      <charset val="128"/>
    </font>
    <font>
      <sz val="10"/>
      <color theme="9"/>
      <name val="Meiryo UI"/>
      <family val="3"/>
      <charset val="128"/>
    </font>
    <font>
      <b/>
      <sz val="11"/>
      <color theme="8"/>
      <name val="Meiryo UI"/>
      <family val="3"/>
      <charset val="128"/>
    </font>
    <font>
      <sz val="11"/>
      <color theme="0" tint="-0.499984740745262"/>
      <name val="Meiryo UI"/>
      <family val="3"/>
      <charset val="128"/>
    </font>
    <font>
      <u/>
      <sz val="12"/>
      <color theme="10"/>
      <name val="Meiryo UI"/>
      <family val="3"/>
      <charset val="128"/>
    </font>
    <font>
      <sz val="24"/>
      <name val="Meiryo UI"/>
      <family val="3"/>
      <charset val="128"/>
    </font>
    <font>
      <sz val="10"/>
      <color theme="1"/>
      <name val="Meiryo UI"/>
      <family val="3"/>
      <charset val="128"/>
    </font>
    <font>
      <sz val="16"/>
      <color theme="1"/>
      <name val="Meiryo UI"/>
      <family val="3"/>
      <charset val="128"/>
    </font>
    <font>
      <sz val="11"/>
      <color theme="1"/>
      <name val="Meiryo UI"/>
      <family val="3"/>
      <charset val="128"/>
    </font>
    <font>
      <sz val="11"/>
      <color theme="1" tint="0.14996795556505021"/>
      <name val="ＭＳ Ｐゴシック"/>
      <family val="1"/>
      <scheme val="minor"/>
    </font>
    <font>
      <sz val="11"/>
      <color theme="1"/>
      <name val="ＭＳ Ｐゴシック"/>
      <family val="2"/>
      <scheme val="minor"/>
    </font>
    <font>
      <b/>
      <i/>
      <sz val="12"/>
      <color rgb="FFFF00FF"/>
      <name val="HG丸ｺﾞｼｯｸM-PRO"/>
      <family val="3"/>
      <charset val="128"/>
    </font>
    <font>
      <b/>
      <sz val="12"/>
      <color rgb="FF3300CC"/>
      <name val="HG丸ｺﾞｼｯｸM-PRO"/>
      <family val="3"/>
      <charset val="128"/>
    </font>
    <font>
      <sz val="11"/>
      <color rgb="FF3300CC"/>
      <name val="HG丸ｺﾞｼｯｸM-PRO"/>
      <family val="3"/>
      <charset val="128"/>
    </font>
    <font>
      <b/>
      <sz val="11"/>
      <color theme="1"/>
      <name val="HG丸ｺﾞｼｯｸM-PRO"/>
      <family val="3"/>
      <charset val="128"/>
    </font>
    <font>
      <b/>
      <sz val="11"/>
      <color rgb="FFFF0000"/>
      <name val="HG丸ｺﾞｼｯｸM-PRO"/>
      <family val="3"/>
      <charset val="128"/>
    </font>
    <font>
      <sz val="11"/>
      <color theme="1"/>
      <name val="HG丸ｺﾞｼｯｸM-PRO"/>
      <family val="3"/>
      <charset val="128"/>
    </font>
    <font>
      <b/>
      <sz val="11"/>
      <color theme="1"/>
      <name val="ＭＳ 明朝"/>
      <family val="1"/>
      <charset val="128"/>
    </font>
    <font>
      <b/>
      <sz val="12"/>
      <color theme="1"/>
      <name val="ＭＳ 明朝"/>
      <family val="1"/>
      <charset val="128"/>
    </font>
    <font>
      <b/>
      <u/>
      <sz val="11"/>
      <color theme="1"/>
      <name val="ＭＳ 明朝"/>
      <family val="1"/>
      <charset val="128"/>
    </font>
    <font>
      <sz val="10"/>
      <color rgb="FFFF0000"/>
      <name val="Meiryo UI"/>
      <family val="3"/>
      <charset val="128"/>
    </font>
    <font>
      <sz val="16"/>
      <color rgb="FFFF0000"/>
      <name val="Meiryo UI"/>
      <family val="3"/>
      <charset val="128"/>
    </font>
    <font>
      <sz val="11"/>
      <color rgb="FFFF0000"/>
      <name val="Meiryo UI"/>
      <family val="3"/>
      <charset val="128"/>
    </font>
    <font>
      <sz val="14"/>
      <name val="Meiryo UI"/>
      <family val="3"/>
      <charset val="128"/>
    </font>
    <font>
      <sz val="14"/>
      <color rgb="FFFF0000"/>
      <name val="Meiryo UI"/>
      <family val="3"/>
      <charset val="128"/>
    </font>
    <font>
      <sz val="20"/>
      <color rgb="FFFF0000"/>
      <name val="Meiryo UI"/>
      <family val="3"/>
      <charset val="128"/>
    </font>
    <font>
      <sz val="10"/>
      <color theme="9"/>
      <name val="HG丸ｺﾞｼｯｸM-PRO"/>
      <family val="3"/>
      <charset val="128"/>
    </font>
    <font>
      <sz val="10"/>
      <name val="HG丸ｺﾞｼｯｸM-PRO"/>
      <family val="3"/>
      <charset val="128"/>
    </font>
    <font>
      <sz val="11"/>
      <name val="HG丸ｺﾞｼｯｸM-PRO"/>
      <family val="3"/>
      <charset val="128"/>
    </font>
    <font>
      <sz val="11"/>
      <color theme="8"/>
      <name val="HG丸ｺﾞｼｯｸM-PRO"/>
      <family val="3"/>
      <charset val="128"/>
    </font>
    <font>
      <sz val="14"/>
      <color theme="9"/>
      <name val="HG丸ｺﾞｼｯｸM-PRO"/>
      <family val="3"/>
      <charset val="128"/>
    </font>
    <font>
      <sz val="10"/>
      <color rgb="FFFF0000"/>
      <name val="HG丸ｺﾞｼｯｸM-PRO"/>
      <family val="3"/>
      <charset val="128"/>
    </font>
    <font>
      <b/>
      <sz val="12"/>
      <color theme="8"/>
      <name val="HG丸ｺﾞｼｯｸM-PRO"/>
      <family val="3"/>
      <charset val="128"/>
    </font>
    <font>
      <sz val="24"/>
      <name val="Meiryo UI"/>
      <family val="3"/>
    </font>
    <font>
      <strike/>
      <sz val="10"/>
      <color theme="9"/>
      <name val="Meiryo UI"/>
      <family val="3"/>
      <charset val="128"/>
    </font>
    <font>
      <sz val="11"/>
      <color theme="1"/>
      <name val="Yu Gothic"/>
      <family val="2"/>
      <scheme val="minor"/>
    </font>
    <font>
      <sz val="6"/>
      <name val="Yu Gothic"/>
      <family val="3"/>
      <charset val="128"/>
      <scheme val="minor"/>
    </font>
    <font>
      <u/>
      <sz val="11"/>
      <color theme="1"/>
      <name val="HG丸ｺﾞｼｯｸM-PRO"/>
      <family val="3"/>
      <charset val="128"/>
    </font>
    <font>
      <sz val="40"/>
      <color rgb="FFFF0000"/>
      <name val="Meiryo UI"/>
      <family val="3"/>
      <charset val="128"/>
    </font>
    <font>
      <strike/>
      <sz val="14"/>
      <name val="Meiryo UI"/>
      <family val="3"/>
      <charset val="128"/>
    </font>
    <font>
      <strike/>
      <sz val="10"/>
      <name val="Meiryo UI"/>
      <family val="3"/>
      <charset val="128"/>
    </font>
    <font>
      <strike/>
      <sz val="11"/>
      <name val="Meiryo UI"/>
      <family val="3"/>
      <charset val="128"/>
    </font>
    <font>
      <sz val="16"/>
      <name val="Meiryo UI"/>
      <family val="3"/>
      <charset val="128"/>
    </font>
    <font>
      <sz val="22"/>
      <color theme="9"/>
      <name val="Meiryo UI"/>
      <family val="3"/>
      <charset val="128"/>
    </font>
    <font>
      <sz val="12"/>
      <name val="Meiryo UI"/>
      <family val="3"/>
      <charset val="128"/>
    </font>
    <font>
      <sz val="12"/>
      <name val="HG丸ｺﾞｼｯｸM-PRO"/>
      <family val="3"/>
      <charset val="128"/>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s>
  <borders count="4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right/>
      <top/>
      <bottom style="thin">
        <color theme="8"/>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top/>
      <bottom/>
      <diagonal/>
    </border>
    <border>
      <left style="thin">
        <color theme="8"/>
      </left>
      <right/>
      <top/>
      <bottom style="thin">
        <color theme="8"/>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thin">
        <color theme="0" tint="-0.14996795556505021"/>
      </left>
      <right style="thin">
        <color theme="0" tint="-0.1499679555650502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rgb="FFFF0000"/>
      </left>
      <right style="thin">
        <color auto="1"/>
      </right>
      <top style="thick">
        <color rgb="FFFF0000"/>
      </top>
      <bottom style="thin">
        <color auto="1"/>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ck">
        <color rgb="FFFF0000"/>
      </left>
      <right style="thin">
        <color auto="1"/>
      </right>
      <top style="thin">
        <color auto="1"/>
      </top>
      <bottom style="thin">
        <color auto="1"/>
      </bottom>
      <diagonal/>
    </border>
    <border>
      <left style="thin">
        <color auto="1"/>
      </left>
      <right style="thick">
        <color rgb="FFFF0000"/>
      </right>
      <top style="thin">
        <color auto="1"/>
      </top>
      <bottom style="thin">
        <color auto="1"/>
      </bottom>
      <diagonal/>
    </border>
    <border>
      <left style="thick">
        <color rgb="FFFF0000"/>
      </left>
      <right style="thin">
        <color auto="1"/>
      </right>
      <top style="thin">
        <color auto="1"/>
      </top>
      <bottom style="thick">
        <color rgb="FFFF0000"/>
      </bottom>
      <diagonal/>
    </border>
    <border>
      <left style="thin">
        <color auto="1"/>
      </left>
      <right style="thin">
        <color auto="1"/>
      </right>
      <top style="thin">
        <color auto="1"/>
      </top>
      <bottom style="thick">
        <color rgb="FFFF0000"/>
      </bottom>
      <diagonal/>
    </border>
    <border>
      <left style="thin">
        <color auto="1"/>
      </left>
      <right style="thick">
        <color rgb="FFFF0000"/>
      </right>
      <top style="thin">
        <color auto="1"/>
      </top>
      <bottom style="thick">
        <color rgb="FFFF0000"/>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style="thick">
        <color rgb="FFFF0000"/>
      </right>
      <top style="thin">
        <color auto="1"/>
      </top>
      <bottom/>
      <diagonal/>
    </border>
    <border>
      <left/>
      <right style="thick">
        <color rgb="FFFF0000"/>
      </right>
      <top/>
      <bottom/>
      <diagonal/>
    </border>
    <border>
      <left style="thick">
        <color rgb="FFFF0000"/>
      </left>
      <right style="thin">
        <color auto="1"/>
      </right>
      <top/>
      <bottom style="thin">
        <color auto="1"/>
      </bottom>
      <diagonal/>
    </border>
    <border>
      <left/>
      <right style="thick">
        <color rgb="FFFF0000"/>
      </right>
      <top/>
      <bottom style="thin">
        <color auto="1"/>
      </bottom>
      <diagonal/>
    </border>
  </borders>
  <cellStyleXfs count="9">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xf numFmtId="0" fontId="5" fillId="0" borderId="0" applyNumberFormat="0" applyFill="0" applyBorder="0" applyAlignment="0" applyProtection="0"/>
    <xf numFmtId="0" fontId="23" fillId="6" borderId="15">
      <alignment horizontal="center" vertical="center"/>
    </xf>
    <xf numFmtId="0" fontId="24" fillId="0" borderId="0"/>
    <xf numFmtId="0" fontId="49" fillId="0" borderId="0"/>
  </cellStyleXfs>
  <cellXfs count="125">
    <xf numFmtId="0" fontId="0" fillId="0" borderId="0" xfId="0"/>
    <xf numFmtId="0" fontId="7" fillId="0" borderId="0" xfId="1" applyFont="1"/>
    <xf numFmtId="0" fontId="8" fillId="0" borderId="0" xfId="1" applyFont="1" applyAlignment="1">
      <alignment horizontal="right"/>
    </xf>
    <xf numFmtId="0" fontId="9" fillId="0" borderId="0" xfId="0" applyFont="1"/>
    <xf numFmtId="0" fontId="7" fillId="5" borderId="0" xfId="1" applyFont="1" applyFill="1"/>
    <xf numFmtId="0" fontId="10" fillId="0" borderId="0" xfId="0" applyFont="1" applyAlignment="1">
      <alignment horizontal="right" vertical="top"/>
    </xf>
    <xf numFmtId="0" fontId="12" fillId="0" borderId="2" xfId="2" applyFont="1" applyFill="1" applyBorder="1" applyAlignment="1">
      <alignment horizontal="center" vertical="center"/>
    </xf>
    <xf numFmtId="0" fontId="12" fillId="0" borderId="3" xfId="2" applyFont="1" applyFill="1" applyBorder="1" applyAlignment="1">
      <alignment horizontal="center" vertical="center"/>
    </xf>
    <xf numFmtId="0" fontId="12" fillId="0" borderId="4" xfId="2" applyFont="1" applyFill="1" applyBorder="1" applyAlignment="1">
      <alignment horizontal="center" vertical="center"/>
    </xf>
    <xf numFmtId="178" fontId="9" fillId="0" borderId="0" xfId="0" applyNumberFormat="1" applyFont="1"/>
    <xf numFmtId="176" fontId="8" fillId="4" borderId="8" xfId="1" applyNumberFormat="1" applyFont="1" applyFill="1" applyBorder="1" applyAlignment="1">
      <alignment horizontal="left" vertical="top" wrapText="1"/>
    </xf>
    <xf numFmtId="178" fontId="13" fillId="0" borderId="0" xfId="0" applyNumberFormat="1" applyFont="1" applyAlignment="1">
      <alignment vertical="center" textRotation="90"/>
    </xf>
    <xf numFmtId="0" fontId="14" fillId="0" borderId="0" xfId="1" applyFont="1"/>
    <xf numFmtId="0" fontId="15" fillId="4" borderId="7" xfId="1" applyFont="1" applyFill="1" applyBorder="1" applyAlignment="1">
      <alignment horizontal="center" vertical="top" wrapText="1"/>
    </xf>
    <xf numFmtId="0" fontId="15" fillId="4" borderId="7" xfId="3" applyFont="1" applyFill="1" applyBorder="1" applyAlignment="1">
      <alignment horizontal="center" vertical="top" wrapText="1"/>
    </xf>
    <xf numFmtId="176" fontId="8" fillId="0" borderId="8" xfId="1" applyNumberFormat="1" applyFont="1" applyBorder="1" applyAlignment="1">
      <alignment horizontal="left" vertical="top" wrapText="1"/>
    </xf>
    <xf numFmtId="0" fontId="15" fillId="0" borderId="7" xfId="1" applyFont="1" applyBorder="1" applyAlignment="1">
      <alignment horizontal="center" vertical="top" wrapText="1"/>
    </xf>
    <xf numFmtId="0" fontId="15" fillId="0" borderId="7" xfId="3" applyFont="1" applyFill="1" applyBorder="1" applyAlignment="1">
      <alignment horizontal="center" vertical="top" wrapText="1"/>
    </xf>
    <xf numFmtId="176" fontId="8" fillId="4" borderId="9" xfId="1" applyNumberFormat="1" applyFont="1" applyFill="1" applyBorder="1" applyAlignment="1">
      <alignment horizontal="left" vertical="top" wrapText="1"/>
    </xf>
    <xf numFmtId="176" fontId="8" fillId="0" borderId="9" xfId="1" applyNumberFormat="1" applyFont="1" applyBorder="1" applyAlignment="1">
      <alignment horizontal="left" vertical="top" wrapText="1"/>
    </xf>
    <xf numFmtId="176" fontId="8" fillId="0" borderId="10" xfId="1" applyNumberFormat="1" applyFont="1" applyBorder="1" applyAlignment="1">
      <alignment horizontal="left" vertical="top" wrapText="1"/>
    </xf>
    <xf numFmtId="0" fontId="17" fillId="0" borderId="0" xfId="1" applyFont="1" applyAlignment="1">
      <alignment horizontal="right"/>
    </xf>
    <xf numFmtId="0" fontId="17" fillId="0" borderId="0" xfId="1" applyFont="1" applyAlignment="1">
      <alignment horizontal="center"/>
    </xf>
    <xf numFmtId="0" fontId="18" fillId="0" borderId="0" xfId="5" applyFont="1"/>
    <xf numFmtId="0" fontId="19" fillId="5" borderId="0" xfId="1" applyFont="1" applyFill="1"/>
    <xf numFmtId="0" fontId="20" fillId="4" borderId="7" xfId="3" applyFont="1" applyFill="1" applyBorder="1" applyAlignment="1">
      <alignment horizontal="center" vertical="top" wrapText="1"/>
    </xf>
    <xf numFmtId="0" fontId="20" fillId="0" borderId="7" xfId="3" applyFont="1" applyFill="1" applyBorder="1" applyAlignment="1">
      <alignment horizontal="center" vertical="top" wrapText="1"/>
    </xf>
    <xf numFmtId="176" fontId="22" fillId="4" borderId="9" xfId="1" applyNumberFormat="1" applyFont="1" applyFill="1" applyBorder="1" applyAlignment="1">
      <alignment horizontal="left" vertical="top" wrapText="1"/>
    </xf>
    <xf numFmtId="0" fontId="25" fillId="0" borderId="16" xfId="7" applyFont="1" applyBorder="1" applyAlignment="1">
      <alignment horizontal="center" vertical="center" wrapText="1"/>
    </xf>
    <xf numFmtId="0" fontId="26" fillId="0" borderId="16" xfId="7" applyFont="1" applyBorder="1" applyAlignment="1">
      <alignment vertical="center" wrapText="1"/>
    </xf>
    <xf numFmtId="0" fontId="24" fillId="0" borderId="0" xfId="7"/>
    <xf numFmtId="0" fontId="28" fillId="0" borderId="16" xfId="7" applyFont="1" applyBorder="1" applyAlignment="1">
      <alignment horizontal="center" vertical="center" wrapText="1"/>
    </xf>
    <xf numFmtId="0" fontId="28" fillId="0" borderId="16" xfId="7" applyFont="1" applyBorder="1" applyAlignment="1">
      <alignment vertical="center" wrapText="1"/>
    </xf>
    <xf numFmtId="0" fontId="29" fillId="0" borderId="16" xfId="7" applyFont="1" applyBorder="1" applyAlignment="1">
      <alignment horizontal="center" vertical="center" wrapText="1"/>
    </xf>
    <xf numFmtId="0" fontId="30" fillId="0" borderId="0" xfId="7" applyFont="1"/>
    <xf numFmtId="0" fontId="31" fillId="0" borderId="0" xfId="7" applyFont="1"/>
    <xf numFmtId="0" fontId="31" fillId="0" borderId="19" xfId="7" applyFont="1" applyBorder="1"/>
    <xf numFmtId="0" fontId="30" fillId="0" borderId="0" xfId="7" applyFont="1" applyAlignment="1">
      <alignment horizontal="center"/>
    </xf>
    <xf numFmtId="0" fontId="31" fillId="0" borderId="19" xfId="7" applyFont="1" applyBorder="1" applyAlignment="1">
      <alignment horizontal="center" vertical="center"/>
    </xf>
    <xf numFmtId="0" fontId="30" fillId="0" borderId="0" xfId="7" applyFont="1" applyAlignment="1">
      <alignment horizontal="center" vertical="center"/>
    </xf>
    <xf numFmtId="0" fontId="32" fillId="0" borderId="19" xfId="7" applyFont="1" applyBorder="1" applyAlignment="1">
      <alignment horizontal="center" vertical="center" wrapText="1"/>
    </xf>
    <xf numFmtId="0" fontId="31" fillId="7" borderId="19" xfId="7" applyFont="1" applyFill="1" applyBorder="1" applyAlignment="1">
      <alignment horizontal="center" vertical="center"/>
    </xf>
    <xf numFmtId="0" fontId="24" fillId="0" borderId="0" xfId="7" applyAlignment="1">
      <alignment horizontal="center" vertical="center"/>
    </xf>
    <xf numFmtId="0" fontId="31" fillId="0" borderId="19" xfId="7" applyFont="1" applyBorder="1" applyAlignment="1">
      <alignment horizontal="center" vertical="center" wrapText="1"/>
    </xf>
    <xf numFmtId="0" fontId="30" fillId="0" borderId="0" xfId="7" applyFont="1" applyAlignment="1">
      <alignment horizontal="center" vertical="center" wrapText="1"/>
    </xf>
    <xf numFmtId="0" fontId="33" fillId="0" borderId="19" xfId="7" applyFont="1" applyBorder="1"/>
    <xf numFmtId="0" fontId="31" fillId="0" borderId="0" xfId="7" applyFont="1" applyAlignment="1">
      <alignment horizontal="left" vertical="center"/>
    </xf>
    <xf numFmtId="0" fontId="34" fillId="0" borderId="7" xfId="3" applyFont="1" applyFill="1" applyBorder="1" applyAlignment="1">
      <alignment horizontal="center" vertical="top" wrapText="1"/>
    </xf>
    <xf numFmtId="0" fontId="14" fillId="0" borderId="7" xfId="3" applyFont="1" applyFill="1" applyBorder="1" applyAlignment="1">
      <alignment horizontal="center" vertical="top" wrapText="1"/>
    </xf>
    <xf numFmtId="0" fontId="14" fillId="4" borderId="7" xfId="3" applyFont="1" applyFill="1" applyBorder="1" applyAlignment="1">
      <alignment horizontal="center" vertical="top" wrapText="1"/>
    </xf>
    <xf numFmtId="0" fontId="34" fillId="4" borderId="7" xfId="3" applyFont="1" applyFill="1" applyBorder="1" applyAlignment="1">
      <alignment horizontal="center" vertical="top" wrapText="1"/>
    </xf>
    <xf numFmtId="0" fontId="40" fillId="4" borderId="7" xfId="3" applyFont="1" applyFill="1" applyBorder="1" applyAlignment="1">
      <alignment horizontal="center" vertical="top" wrapText="1"/>
    </xf>
    <xf numFmtId="176" fontId="43" fillId="0" borderId="8" xfId="1" applyNumberFormat="1" applyFont="1" applyBorder="1" applyAlignment="1">
      <alignment horizontal="left" vertical="top" wrapText="1"/>
    </xf>
    <xf numFmtId="0" fontId="40" fillId="0" borderId="7" xfId="3" applyFont="1" applyFill="1" applyBorder="1" applyAlignment="1">
      <alignment horizontal="center" vertical="top" wrapText="1"/>
    </xf>
    <xf numFmtId="176" fontId="43" fillId="4" borderId="9" xfId="1" applyNumberFormat="1" applyFont="1" applyFill="1" applyBorder="1" applyAlignment="1">
      <alignment horizontal="left" vertical="top" wrapText="1"/>
    </xf>
    <xf numFmtId="176" fontId="43" fillId="0" borderId="9" xfId="1" applyNumberFormat="1" applyFont="1" applyBorder="1" applyAlignment="1">
      <alignment horizontal="left" vertical="top" wrapText="1"/>
    </xf>
    <xf numFmtId="0" fontId="45" fillId="0" borderId="7" xfId="3" applyFont="1" applyFill="1" applyBorder="1" applyAlignment="1">
      <alignment horizontal="center" vertical="top" wrapText="1"/>
    </xf>
    <xf numFmtId="0" fontId="44" fillId="4" borderId="7" xfId="3" applyFont="1" applyFill="1" applyBorder="1" applyAlignment="1">
      <alignment horizontal="center" vertical="top" wrapText="1"/>
    </xf>
    <xf numFmtId="0" fontId="41" fillId="0" borderId="7" xfId="3" applyFont="1" applyFill="1" applyBorder="1" applyAlignment="1">
      <alignment horizontal="center" vertical="top" wrapText="1"/>
    </xf>
    <xf numFmtId="0" fontId="49" fillId="0" borderId="0" xfId="8"/>
    <xf numFmtId="0" fontId="30" fillId="0" borderId="0" xfId="8" applyFont="1"/>
    <xf numFmtId="0" fontId="30" fillId="0" borderId="0" xfId="8" applyFont="1" applyAlignment="1">
      <alignment horizontal="center" vertical="center"/>
    </xf>
    <xf numFmtId="0" fontId="30" fillId="0" borderId="0" xfId="8" applyFont="1" applyAlignment="1">
      <alignment horizontal="left" vertical="center"/>
    </xf>
    <xf numFmtId="0" fontId="30" fillId="0" borderId="19" xfId="8" applyFont="1" applyBorder="1" applyAlignment="1">
      <alignment horizontal="center" vertical="center" wrapText="1"/>
    </xf>
    <xf numFmtId="0" fontId="30" fillId="0" borderId="19" xfId="8" applyFont="1" applyBorder="1" applyAlignment="1">
      <alignment horizontal="center" vertical="center"/>
    </xf>
    <xf numFmtId="0" fontId="49" fillId="0" borderId="0" xfId="8" applyAlignment="1">
      <alignment horizontal="center" vertical="center"/>
    </xf>
    <xf numFmtId="0" fontId="30" fillId="0" borderId="0" xfId="8" applyFont="1" applyAlignment="1">
      <alignment horizontal="center" vertical="center" wrapText="1"/>
    </xf>
    <xf numFmtId="0" fontId="30" fillId="0" borderId="0" xfId="8" applyFont="1" applyAlignment="1">
      <alignment horizontal="center"/>
    </xf>
    <xf numFmtId="0" fontId="30" fillId="0" borderId="20" xfId="8" applyFont="1" applyBorder="1" applyAlignment="1">
      <alignment horizontal="center" vertical="center" wrapText="1"/>
    </xf>
    <xf numFmtId="0" fontId="30" fillId="0" borderId="20" xfId="8" applyFont="1" applyBorder="1"/>
    <xf numFmtId="0" fontId="30" fillId="0" borderId="23" xfId="8" applyFont="1" applyBorder="1" applyAlignment="1">
      <alignment horizontal="center" vertical="center"/>
    </xf>
    <xf numFmtId="0" fontId="30" fillId="0" borderId="24" xfId="8" applyFont="1" applyBorder="1"/>
    <xf numFmtId="0" fontId="30" fillId="0" borderId="26" xfId="8" applyFont="1" applyBorder="1" applyAlignment="1">
      <alignment horizontal="center" vertical="center"/>
    </xf>
    <xf numFmtId="0" fontId="30" fillId="0" borderId="27" xfId="8" applyFont="1" applyBorder="1" applyAlignment="1">
      <alignment horizontal="center" vertical="center"/>
    </xf>
    <xf numFmtId="0" fontId="30" fillId="0" borderId="27" xfId="8" applyFont="1" applyBorder="1" applyAlignment="1">
      <alignment horizontal="center" vertical="center" wrapText="1"/>
    </xf>
    <xf numFmtId="0" fontId="30" fillId="0" borderId="28" xfId="8" applyFont="1" applyBorder="1" applyAlignment="1">
      <alignment horizontal="center" vertical="center"/>
    </xf>
    <xf numFmtId="0" fontId="30" fillId="0" borderId="29" xfId="8" applyFont="1" applyBorder="1" applyAlignment="1">
      <alignment horizontal="center" vertical="center" wrapText="1"/>
    </xf>
    <xf numFmtId="0" fontId="14" fillId="0" borderId="7" xfId="1" applyFont="1" applyBorder="1" applyAlignment="1">
      <alignment horizontal="center" vertical="top" wrapText="1"/>
    </xf>
    <xf numFmtId="0" fontId="52" fillId="0" borderId="0" xfId="1" applyFont="1" applyAlignment="1">
      <alignment horizontal="center" vertical="center"/>
    </xf>
    <xf numFmtId="0" fontId="48" fillId="4" borderId="7" xfId="3" applyFont="1" applyFill="1" applyBorder="1" applyAlignment="1">
      <alignment horizontal="center" vertical="top" wrapText="1"/>
    </xf>
    <xf numFmtId="0" fontId="52" fillId="0" borderId="0" xfId="1" applyFont="1"/>
    <xf numFmtId="0" fontId="30" fillId="0" borderId="39" xfId="8" applyFont="1" applyBorder="1" applyAlignment="1">
      <alignment horizontal="center" vertical="center"/>
    </xf>
    <xf numFmtId="0" fontId="51" fillId="0" borderId="29" xfId="8" applyFont="1" applyBorder="1" applyAlignment="1">
      <alignment vertical="center"/>
    </xf>
    <xf numFmtId="0" fontId="30" fillId="0" borderId="29" xfId="8" applyFont="1" applyBorder="1"/>
    <xf numFmtId="0" fontId="30" fillId="0" borderId="30" xfId="8" applyFont="1" applyBorder="1"/>
    <xf numFmtId="0" fontId="21" fillId="7" borderId="7" xfId="3" applyFont="1" applyFill="1" applyBorder="1" applyAlignment="1">
      <alignment horizontal="center" vertical="top" wrapText="1"/>
    </xf>
    <xf numFmtId="0" fontId="21" fillId="4" borderId="7" xfId="3" applyFont="1" applyFill="1" applyBorder="1" applyAlignment="1">
      <alignment horizontal="center" vertical="top" wrapText="1"/>
    </xf>
    <xf numFmtId="0" fontId="56" fillId="0" borderId="7" xfId="3" applyFont="1" applyFill="1" applyBorder="1" applyAlignment="1">
      <alignment horizontal="center" vertical="top" wrapText="1"/>
    </xf>
    <xf numFmtId="0" fontId="56" fillId="4" borderId="7" xfId="3" applyFont="1" applyFill="1" applyBorder="1" applyAlignment="1">
      <alignment horizontal="center" vertical="top" wrapText="1"/>
    </xf>
    <xf numFmtId="0" fontId="39" fillId="0" borderId="7" xfId="3" applyFont="1" applyFill="1" applyBorder="1" applyAlignment="1">
      <alignment horizontal="center" vertical="top" wrapText="1"/>
    </xf>
    <xf numFmtId="0" fontId="57" fillId="0" borderId="7" xfId="3" applyFont="1" applyFill="1" applyBorder="1" applyAlignment="1">
      <alignment horizontal="center" vertical="top" wrapText="1"/>
    </xf>
    <xf numFmtId="0" fontId="58" fillId="4" borderId="7" xfId="1" applyFont="1" applyFill="1" applyBorder="1" applyAlignment="1">
      <alignment horizontal="center" vertical="top" wrapText="1"/>
    </xf>
    <xf numFmtId="0" fontId="59" fillId="4" borderId="7" xfId="3" applyFont="1" applyFill="1" applyBorder="1" applyAlignment="1">
      <alignment horizontal="center" vertical="top" wrapText="1"/>
    </xf>
    <xf numFmtId="0" fontId="30" fillId="0" borderId="24" xfId="8" applyFont="1" applyBorder="1" applyAlignment="1">
      <alignment horizontal="center"/>
    </xf>
    <xf numFmtId="0" fontId="30" fillId="0" borderId="25" xfId="8" applyFont="1" applyBorder="1" applyAlignment="1">
      <alignment horizontal="center"/>
    </xf>
    <xf numFmtId="0" fontId="30" fillId="0" borderId="21" xfId="8" applyFont="1" applyBorder="1" applyAlignment="1">
      <alignment horizontal="center" vertical="center" wrapText="1"/>
    </xf>
    <xf numFmtId="0" fontId="30" fillId="0" borderId="22" xfId="8" applyFont="1" applyBorder="1" applyAlignment="1">
      <alignment horizontal="center" vertical="center" wrapText="1"/>
    </xf>
    <xf numFmtId="0" fontId="30" fillId="8" borderId="31" xfId="8" applyFont="1" applyFill="1" applyBorder="1" applyAlignment="1">
      <alignment horizontal="center" vertical="center" wrapText="1"/>
    </xf>
    <xf numFmtId="0" fontId="30" fillId="8" borderId="32" xfId="8" applyFont="1" applyFill="1" applyBorder="1" applyAlignment="1">
      <alignment horizontal="center" vertical="center" wrapText="1"/>
    </xf>
    <xf numFmtId="0" fontId="30" fillId="8" borderId="33" xfId="8" applyFont="1" applyFill="1" applyBorder="1" applyAlignment="1">
      <alignment horizontal="center" vertical="center" wrapText="1"/>
    </xf>
    <xf numFmtId="0" fontId="30" fillId="8" borderId="34" xfId="8" applyFont="1" applyFill="1" applyBorder="1" applyAlignment="1">
      <alignment horizontal="center" vertical="center" wrapText="1"/>
    </xf>
    <xf numFmtId="0" fontId="30" fillId="7" borderId="31" xfId="8" applyFont="1" applyFill="1" applyBorder="1" applyAlignment="1">
      <alignment horizontal="center" vertical="center" wrapText="1"/>
    </xf>
    <xf numFmtId="0" fontId="30" fillId="7" borderId="32" xfId="8" applyFont="1" applyFill="1" applyBorder="1" applyAlignment="1">
      <alignment horizontal="center" vertical="center" wrapText="1"/>
    </xf>
    <xf numFmtId="0" fontId="30" fillId="7" borderId="35" xfId="8" applyFont="1" applyFill="1" applyBorder="1" applyAlignment="1">
      <alignment horizontal="center" vertical="center" wrapText="1"/>
    </xf>
    <xf numFmtId="0" fontId="30" fillId="7" borderId="36" xfId="8" applyFont="1" applyFill="1" applyBorder="1" applyAlignment="1">
      <alignment horizontal="center" vertical="center" wrapText="1"/>
    </xf>
    <xf numFmtId="0" fontId="30" fillId="7" borderId="33" xfId="8" applyFont="1" applyFill="1" applyBorder="1" applyAlignment="1">
      <alignment horizontal="center" vertical="center" wrapText="1"/>
    </xf>
    <xf numFmtId="0" fontId="30" fillId="7" borderId="34" xfId="8" applyFont="1" applyFill="1" applyBorder="1" applyAlignment="1">
      <alignment horizontal="center" vertical="center" wrapText="1"/>
    </xf>
    <xf numFmtId="0" fontId="30" fillId="7" borderId="37" xfId="8" applyFont="1" applyFill="1" applyBorder="1" applyAlignment="1">
      <alignment horizontal="center" vertical="center" wrapText="1"/>
    </xf>
    <xf numFmtId="0" fontId="30" fillId="7" borderId="38" xfId="8" applyFont="1" applyFill="1" applyBorder="1" applyAlignment="1">
      <alignment horizontal="center" vertical="center" wrapText="1"/>
    </xf>
    <xf numFmtId="0" fontId="30" fillId="7" borderId="40" xfId="8" applyFont="1" applyFill="1" applyBorder="1" applyAlignment="1">
      <alignment horizontal="center" vertical="center" wrapText="1"/>
    </xf>
    <xf numFmtId="0" fontId="31" fillId="0" borderId="19" xfId="7" applyFont="1" applyBorder="1" applyAlignment="1">
      <alignment horizontal="center"/>
    </xf>
    <xf numFmtId="0" fontId="28" fillId="0" borderId="17" xfId="7" applyFont="1" applyBorder="1" applyAlignment="1">
      <alignment vertical="center" wrapText="1"/>
    </xf>
    <xf numFmtId="0" fontId="28" fillId="0" borderId="18" xfId="7" applyFont="1" applyBorder="1" applyAlignment="1">
      <alignment vertical="center" wrapText="1"/>
    </xf>
    <xf numFmtId="0" fontId="28" fillId="0" borderId="17" xfId="7" applyFont="1" applyBorder="1" applyAlignment="1">
      <alignment horizontal="center" vertical="center" wrapText="1"/>
    </xf>
    <xf numFmtId="0" fontId="28" fillId="0" borderId="18" xfId="7" applyFont="1" applyBorder="1" applyAlignment="1">
      <alignment horizontal="center" vertical="center" wrapText="1"/>
    </xf>
    <xf numFmtId="0" fontId="16" fillId="0" borderId="11" xfId="2" applyFont="1" applyFill="1" applyBorder="1" applyAlignment="1">
      <alignment horizontal="left" vertical="top" wrapText="1"/>
    </xf>
    <xf numFmtId="0" fontId="16" fillId="0" borderId="5" xfId="2" applyFont="1" applyFill="1" applyBorder="1" applyAlignment="1">
      <alignment horizontal="left" vertical="top" wrapText="1"/>
    </xf>
    <xf numFmtId="0" fontId="16" fillId="0" borderId="6" xfId="2" applyFont="1" applyFill="1" applyBorder="1" applyAlignment="1">
      <alignment horizontal="left" vertical="top" wrapText="1"/>
    </xf>
    <xf numFmtId="176" fontId="12" fillId="0" borderId="12" xfId="2" applyNumberFormat="1" applyFont="1" applyFill="1" applyBorder="1" applyAlignment="1">
      <alignment horizontal="left" vertical="center" wrapText="1"/>
    </xf>
    <xf numFmtId="176" fontId="12" fillId="0" borderId="13" xfId="2" applyNumberFormat="1" applyFont="1" applyFill="1" applyBorder="1" applyAlignment="1">
      <alignment horizontal="left" vertical="center" wrapText="1"/>
    </xf>
    <xf numFmtId="176" fontId="12" fillId="0" borderId="14" xfId="2" applyNumberFormat="1" applyFont="1" applyFill="1" applyBorder="1" applyAlignment="1">
      <alignment horizontal="left" vertical="center" wrapText="1"/>
    </xf>
    <xf numFmtId="177" fontId="11" fillId="0" borderId="0" xfId="1" applyNumberFormat="1" applyFont="1" applyAlignment="1">
      <alignment horizontal="left" vertical="center"/>
    </xf>
    <xf numFmtId="0" fontId="46" fillId="0" borderId="11" xfId="2" applyFont="1" applyFill="1" applyBorder="1" applyAlignment="1">
      <alignment horizontal="left" vertical="top" wrapText="1"/>
    </xf>
    <xf numFmtId="0" fontId="58" fillId="4" borderId="7" xfId="3" applyFont="1" applyFill="1" applyBorder="1" applyAlignment="1">
      <alignment horizontal="center" vertical="top" wrapText="1"/>
    </xf>
    <xf numFmtId="0" fontId="42" fillId="0" borderId="7" xfId="3" applyFont="1" applyFill="1" applyBorder="1" applyAlignment="1">
      <alignment horizontal="center" vertical="top" wrapText="1"/>
    </xf>
  </cellXfs>
  <cellStyles count="9">
    <cellStyle name="40% - Accent1 2" xfId="3" xr:uid="{00000000-0005-0000-0000-000000000000}"/>
    <cellStyle name="Accent1 2" xfId="2" xr:uid="{00000000-0005-0000-0000-000001000000}"/>
    <cellStyle name="Heading 1 2" xfId="4" xr:uid="{00000000-0005-0000-0000-000002000000}"/>
    <cellStyle name="Normal 2" xfId="1" xr:uid="{00000000-0005-0000-0000-000003000000}"/>
    <cellStyle name="ハイパーリンク" xfId="5" builtinId="8"/>
    <cellStyle name="標準" xfId="0" builtinId="0" customBuiltin="1"/>
    <cellStyle name="標準 2" xfId="7" xr:uid="{244AA7CF-2593-4695-876D-0A1D9B11B68A}"/>
    <cellStyle name="標準 3" xfId="8" xr:uid="{7DD24308-8214-431C-A064-2108C11DA045}"/>
    <cellStyle name="網かけ表示された日付メモ" xfId="6" xr:uid="{12770F77-7A8C-4DBC-B158-F0915C7CED34}"/>
  </cellStyles>
  <dxfs count="11">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TableStyleLight9 2" pivot="0" count="4" xr9:uid="{00000000-0011-0000-FFFF-FFFF01000000}">
      <tableStyleElement type="wholeTable" dxfId="3"/>
      <tableStyleElement type="headerRow" dxfId="2"/>
      <tableStyleElement type="totalRow" dxfId="1"/>
      <tableStyleElement type="firstColumn" dxfId="0"/>
    </tableStyle>
  </tableStyles>
  <colors>
    <mruColors>
      <color rgb="FFC17529"/>
      <color rgb="FFFDFDFD"/>
      <color rgb="FFA19574"/>
      <color rgb="FFEAE8EA"/>
      <color rgb="FFEAE8E0"/>
      <color rgb="FFA1A9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Spin" dx="16" fmlaLink="カレンダーの年" max="2999" min="1900" page="10" val="2023"/>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jpeg"/><Relationship Id="rId5" Type="http://schemas.openxmlformats.org/officeDocument/2006/relationships/image" Target="../media/image28.jpeg"/><Relationship Id="rId4" Type="http://schemas.openxmlformats.org/officeDocument/2006/relationships/image" Target="../media/image27.gif"/></Relationships>
</file>

<file path=xl/drawings/_rels/drawing13.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12</xdr:col>
      <xdr:colOff>8061</xdr:colOff>
      <xdr:row>8</xdr:row>
      <xdr:rowOff>0</xdr:rowOff>
    </xdr:from>
    <xdr:ext cx="3846825" cy="800604"/>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456611" y="2119313"/>
          <a:ext cx="3846825" cy="800604"/>
        </a:xfrm>
        <a:prstGeom prst="rect">
          <a:avLst/>
        </a:prstGeom>
        <a:solidFill>
          <a:schemeClr val="bg1">
            <a:lumMod val="85000"/>
          </a:schemeClr>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t>本牧ひろば公園（</a:t>
          </a:r>
          <a:r>
            <a:rPr kumimoji="1" lang="ja-JP" altLang="en-US" sz="1100">
              <a:solidFill>
                <a:schemeClr val="tx1"/>
              </a:solidFill>
              <a:effectLst/>
              <a:latin typeface="+mn-lt"/>
              <a:ea typeface="+mn-ea"/>
              <a:cs typeface="+mn-cs"/>
            </a:rPr>
            <a:t>最低開催</a:t>
          </a:r>
          <a:r>
            <a:rPr kumimoji="1" lang="ja-JP" altLang="ja-JP" sz="1100">
              <a:solidFill>
                <a:schemeClr val="tx1"/>
              </a:solidFill>
              <a:effectLst/>
              <a:latin typeface="+mn-lt"/>
              <a:ea typeface="+mn-ea"/>
              <a:cs typeface="+mn-cs"/>
            </a:rPr>
            <a:t>人数</a:t>
          </a:r>
          <a:r>
            <a:rPr kumimoji="1" lang="ja-JP" altLang="en-US" sz="1100">
              <a:solidFill>
                <a:schemeClr val="tx1"/>
              </a:solidFill>
              <a:effectLst/>
              <a:latin typeface="+mn-lt"/>
              <a:ea typeface="+mn-ea"/>
              <a:cs typeface="+mn-cs"/>
            </a:rPr>
            <a:t>８名～１６名以上</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地域の要望があれば将来的に開講</a:t>
          </a:r>
          <a:endParaRPr kumimoji="1" lang="en-US" altLang="ja-JP" sz="1100">
            <a:solidFill>
              <a:srgbClr val="FF0000"/>
            </a:solidFill>
          </a:endParaRPr>
        </a:p>
        <a:p>
          <a:pPr algn="ctr"/>
          <a:r>
            <a:rPr kumimoji="1" lang="ja-JP" altLang="en-US" sz="1100"/>
            <a:t>合同クラス　</a:t>
          </a:r>
          <a:r>
            <a:rPr kumimoji="1" lang="en-US" altLang="ja-JP" sz="1100"/>
            <a:t>15</a:t>
          </a:r>
          <a:r>
            <a:rPr kumimoji="1" lang="ja-JP" altLang="en-US" sz="1100"/>
            <a:t>：</a:t>
          </a:r>
          <a:r>
            <a:rPr kumimoji="1" lang="en-US" altLang="ja-JP" sz="1100"/>
            <a:t>30</a:t>
          </a:r>
          <a:r>
            <a:rPr kumimoji="1" lang="ja-JP" altLang="en-US" sz="1100"/>
            <a:t>～</a:t>
          </a:r>
          <a:r>
            <a:rPr kumimoji="1" lang="en-US" altLang="ja-JP" sz="1100"/>
            <a:t>16</a:t>
          </a:r>
          <a:r>
            <a:rPr kumimoji="1" lang="ja-JP" altLang="en-US" sz="1100"/>
            <a:t>：</a:t>
          </a:r>
          <a:r>
            <a:rPr kumimoji="1" lang="en-US" altLang="ja-JP" sz="1100"/>
            <a:t>30</a:t>
          </a:r>
          <a:r>
            <a:rPr kumimoji="1" lang="ja-JP" altLang="en-US" sz="1100"/>
            <a:t>（季節により時間変動有）</a:t>
          </a:r>
          <a:endParaRPr kumimoji="1" lang="en-US" altLang="ja-JP" sz="1100"/>
        </a:p>
      </xdr:txBody>
    </xdr:sp>
    <xdr:clientData/>
  </xdr:oneCellAnchor>
  <xdr:oneCellAnchor>
    <xdr:from>
      <xdr:col>9</xdr:col>
      <xdr:colOff>9930</xdr:colOff>
      <xdr:row>19</xdr:row>
      <xdr:rowOff>103823</xdr:rowOff>
    </xdr:from>
    <xdr:ext cx="3485745" cy="109280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515380" y="3718561"/>
          <a:ext cx="3485745" cy="10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2000">
              <a:solidFill>
                <a:srgbClr val="FF0000"/>
              </a:solidFill>
            </a:rPr>
            <a:t>毎月の予定はＨＰ等で</a:t>
          </a:r>
          <a:endParaRPr kumimoji="1" lang="en-US" altLang="ja-JP" sz="2000">
            <a:solidFill>
              <a:srgbClr val="FF0000"/>
            </a:solidFill>
          </a:endParaRPr>
        </a:p>
        <a:p>
          <a:pPr algn="ctr"/>
          <a:r>
            <a:rPr kumimoji="1" lang="ja-JP" altLang="en-US" sz="2000">
              <a:solidFill>
                <a:srgbClr val="FF0000"/>
              </a:solidFill>
            </a:rPr>
            <a:t>ご確認下さい！</a:t>
          </a:r>
          <a:endParaRPr kumimoji="1" lang="en-US" altLang="ja-JP" sz="2000">
            <a:solidFill>
              <a:srgbClr val="FF0000"/>
            </a:solidFill>
          </a:endParaRPr>
        </a:p>
        <a:p>
          <a:pPr algn="ctr"/>
          <a:r>
            <a:rPr kumimoji="1" lang="ja-JP" altLang="en-US" sz="2000">
              <a:solidFill>
                <a:srgbClr val="FF0000"/>
              </a:solidFill>
            </a:rPr>
            <a:t>振替枠は月２回迄提供予定</a:t>
          </a:r>
        </a:p>
      </xdr:txBody>
    </xdr:sp>
    <xdr:clientData/>
  </xdr:oneCellAnchor>
  <xdr:oneCellAnchor>
    <xdr:from>
      <xdr:col>3</xdr:col>
      <xdr:colOff>39925</xdr:colOff>
      <xdr:row>3</xdr:row>
      <xdr:rowOff>122065</xdr:rowOff>
    </xdr:from>
    <xdr:ext cx="1636780" cy="79252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630600" y="607840"/>
          <a:ext cx="1636780"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400" b="1">
              <a:solidFill>
                <a:srgbClr val="FF0000"/>
              </a:solidFill>
            </a:rPr>
            <a:t>学校側事由で</a:t>
          </a:r>
          <a:endParaRPr kumimoji="1" lang="en-US" altLang="ja-JP" sz="1400" b="1">
            <a:solidFill>
              <a:srgbClr val="FF0000"/>
            </a:solidFill>
          </a:endParaRPr>
        </a:p>
        <a:p>
          <a:pPr algn="ctr"/>
          <a:r>
            <a:rPr kumimoji="1" lang="ja-JP" altLang="en-US" sz="1400" b="1">
              <a:solidFill>
                <a:srgbClr val="FF0000"/>
              </a:solidFill>
            </a:rPr>
            <a:t>予定変更の</a:t>
          </a:r>
          <a:endParaRPr kumimoji="1" lang="en-US" altLang="ja-JP" sz="1400" b="1">
            <a:solidFill>
              <a:srgbClr val="FF0000"/>
            </a:solidFill>
          </a:endParaRPr>
        </a:p>
        <a:p>
          <a:pPr algn="ctr"/>
          <a:r>
            <a:rPr kumimoji="1" lang="ja-JP" altLang="en-US" sz="1400" b="1">
              <a:solidFill>
                <a:srgbClr val="FF0000"/>
              </a:solidFill>
            </a:rPr>
            <a:t>場合有！</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295275</xdr:colOff>
      <xdr:row>11</xdr:row>
      <xdr:rowOff>762000</xdr:rowOff>
    </xdr:from>
    <xdr:to>
      <xdr:col>9</xdr:col>
      <xdr:colOff>1043524</xdr:colOff>
      <xdr:row>16</xdr:row>
      <xdr:rowOff>4085</xdr:rowOff>
    </xdr:to>
    <xdr:sp macro="" textlink="">
      <xdr:nvSpPr>
        <xdr:cNvPr id="7" name="テキスト ボックス 6" descr="住所&#10;郵便番号、都道府県、市&#10;&#10;電話&#10;FAX&#10;電子メール&#10;Web" title="アドレス帳">
          <a:extLst>
            <a:ext uri="{FF2B5EF4-FFF2-40B4-BE49-F238E27FC236}">
              <a16:creationId xmlns:a16="http://schemas.microsoft.com/office/drawing/2014/main" id="{00000000-0008-0000-0B00-000007000000}"/>
            </a:ext>
          </a:extLst>
        </xdr:cNvPr>
        <xdr:cNvSpPr txBox="1"/>
      </xdr:nvSpPr>
      <xdr:spPr>
        <a:xfrm>
          <a:off x="8829675" y="5667375"/>
          <a:ext cx="1929349"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ベイサイド本牧スポーツアカデミー</a:t>
          </a:r>
          <a:endParaRPr lang="ja-JP" altLang="ja-JP" sz="1000">
            <a:effectLst/>
          </a:endParaRPr>
        </a:p>
        <a:p>
          <a:pPr eaLnBrk="1" fontAlgn="auto" latinLnBrk="0" hangingPunct="1"/>
          <a:br>
            <a:rPr lang="en-US" altLang="ja-JP" sz="1100" b="0" i="0" baseline="0">
              <a:solidFill>
                <a:schemeClr val="dk1"/>
              </a:solidFill>
              <a:effectLst/>
              <a:latin typeface="+mn-lt"/>
              <a:ea typeface="+mn-ea"/>
              <a:cs typeface="+mn-cs"/>
            </a:rPr>
          </a:br>
          <a:r>
            <a:rPr lang="ja-JP" altLang="ja-JP" sz="1100" b="0" i="0" baseline="0">
              <a:solidFill>
                <a:schemeClr val="dk1"/>
              </a:solidFill>
              <a:effectLst/>
              <a:latin typeface="+mn-lt"/>
              <a:ea typeface="+mn-ea"/>
              <a:cs typeface="+mn-cs"/>
            </a:rPr>
            <a:t>各クラスが最小遂行人数以下の場合、前クラスの活動を継続する場合もあります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77391</xdr:colOff>
      <xdr:row>5</xdr:row>
      <xdr:rowOff>152401</xdr:rowOff>
    </xdr:from>
    <xdr:ext cx="4644287" cy="2787252"/>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349534" y="2030187"/>
          <a:ext cx="4644287" cy="2787252"/>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chemeClr val="tx1"/>
              </a:solidFill>
            </a:rPr>
            <a:t>小中学生の合同クラスで遊びたい</a:t>
          </a:r>
          <a:endParaRPr kumimoji="1" lang="en-US" altLang="ja-JP" sz="2000" b="1">
            <a:solidFill>
              <a:schemeClr val="tx1"/>
            </a:solidFill>
          </a:endParaRPr>
        </a:p>
        <a:p>
          <a:r>
            <a:rPr kumimoji="1" lang="ja-JP" altLang="en-US" sz="2000" b="1">
              <a:solidFill>
                <a:schemeClr val="tx1"/>
              </a:solidFill>
            </a:rPr>
            <a:t>お友達募集中</a:t>
          </a:r>
          <a:endParaRPr kumimoji="1" lang="en-US" altLang="ja-JP" sz="2000" b="1">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2000" b="1">
              <a:solidFill>
                <a:schemeClr val="tx1"/>
              </a:solidFill>
              <a:effectLst/>
              <a:latin typeface="+mn-lt"/>
              <a:ea typeface="+mn-ea"/>
              <a:cs typeface="+mn-cs"/>
            </a:rPr>
            <a:t>毎回</a:t>
          </a:r>
          <a:r>
            <a:rPr kumimoji="1" lang="ja-JP" altLang="en-US" sz="2000" b="1">
              <a:solidFill>
                <a:schemeClr val="tx1"/>
              </a:solidFill>
              <a:effectLst/>
              <a:latin typeface="+mn-lt"/>
              <a:ea typeface="+mn-ea"/>
              <a:cs typeface="+mn-cs"/>
            </a:rPr>
            <a:t>色んな事が出来て</a:t>
          </a:r>
          <a:r>
            <a:rPr kumimoji="1" lang="ja-JP" altLang="ja-JP" sz="2000" b="1">
              <a:solidFill>
                <a:schemeClr val="tx1"/>
              </a:solidFill>
              <a:effectLst/>
              <a:latin typeface="+mn-lt"/>
              <a:ea typeface="+mn-ea"/>
              <a:cs typeface="+mn-cs"/>
            </a:rPr>
            <a:t>楽しい</a:t>
          </a:r>
          <a:endParaRPr kumimoji="1" lang="en-US" altLang="ja-JP" sz="20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2000" b="1">
              <a:solidFill>
                <a:schemeClr val="tx1"/>
              </a:solidFill>
              <a:effectLst/>
              <a:latin typeface="+mn-lt"/>
              <a:ea typeface="+mn-ea"/>
              <a:cs typeface="+mn-cs"/>
            </a:rPr>
            <a:t>時間</a:t>
          </a:r>
          <a:r>
            <a:rPr kumimoji="1" lang="ja-JP" altLang="en-US" sz="2000" b="1">
              <a:solidFill>
                <a:schemeClr val="tx1"/>
              </a:solidFill>
              <a:effectLst/>
              <a:latin typeface="+mn-lt"/>
              <a:ea typeface="+mn-ea"/>
              <a:cs typeface="+mn-cs"/>
            </a:rPr>
            <a:t>が</a:t>
          </a:r>
          <a:r>
            <a:rPr kumimoji="1" lang="ja-JP" altLang="ja-JP" sz="2000" b="1">
              <a:solidFill>
                <a:schemeClr val="tx1"/>
              </a:solidFill>
              <a:effectLst/>
              <a:latin typeface="+mn-lt"/>
              <a:ea typeface="+mn-ea"/>
              <a:cs typeface="+mn-cs"/>
            </a:rPr>
            <a:t>過ごせるよ！</a:t>
          </a:r>
          <a:endParaRPr lang="ja-JP" altLang="ja-JP" sz="2000">
            <a:effectLst/>
          </a:endParaRPr>
        </a:p>
        <a:p>
          <a:endParaRPr kumimoji="1" lang="en-US" altLang="ja-JP" sz="2000">
            <a:solidFill>
              <a:srgbClr val="FF0000"/>
            </a:solidFill>
          </a:endParaRPr>
        </a:p>
        <a:p>
          <a:r>
            <a:rPr kumimoji="1" lang="ja-JP" altLang="en-US" sz="2000" b="1">
              <a:solidFill>
                <a:sysClr val="windowText" lastClr="000000"/>
              </a:solidFill>
            </a:rPr>
            <a:t>活動状況は</a:t>
          </a:r>
          <a:r>
            <a:rPr kumimoji="1" lang="en-US" altLang="ja-JP" sz="2000" b="1">
              <a:solidFill>
                <a:sysClr val="windowText" lastClr="000000"/>
              </a:solidFill>
            </a:rPr>
            <a:t>TikTok</a:t>
          </a:r>
          <a:r>
            <a:rPr kumimoji="1" lang="ja-JP" altLang="en-US" sz="2000" b="1">
              <a:solidFill>
                <a:sysClr val="windowText" lastClr="000000"/>
              </a:solidFill>
            </a:rPr>
            <a:t>を今直ぐチェック！</a:t>
          </a:r>
          <a:endParaRPr kumimoji="1" lang="en-US" altLang="ja-JP" sz="2000" b="1">
            <a:solidFill>
              <a:sysClr val="windowText" lastClr="000000"/>
            </a:solidFill>
          </a:endParaRPr>
        </a:p>
      </xdr:txBody>
    </xdr:sp>
    <xdr:clientData/>
  </xdr:oneCellAnchor>
  <xdr:twoCellAnchor editAs="oneCell">
    <xdr:from>
      <xdr:col>8</xdr:col>
      <xdr:colOff>318403</xdr:colOff>
      <xdr:row>5</xdr:row>
      <xdr:rowOff>866774</xdr:rowOff>
    </xdr:from>
    <xdr:to>
      <xdr:col>9</xdr:col>
      <xdr:colOff>1068169</xdr:colOff>
      <xdr:row>11</xdr:row>
      <xdr:rowOff>808286</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122224" y="2744560"/>
          <a:ext cx="1928826" cy="3248047"/>
        </a:xfrm>
        <a:prstGeom prst="rect">
          <a:avLst/>
        </a:prstGeom>
      </xdr:spPr>
    </xdr:pic>
    <xdr:clientData/>
  </xdr:twoCellAnchor>
  <xdr:twoCellAnchor editAs="oneCell">
    <xdr:from>
      <xdr:col>8</xdr:col>
      <xdr:colOff>309561</xdr:colOff>
      <xdr:row>0</xdr:row>
      <xdr:rowOff>150356</xdr:rowOff>
    </xdr:from>
    <xdr:to>
      <xdr:col>9</xdr:col>
      <xdr:colOff>1085859</xdr:colOff>
      <xdr:row>6</xdr:row>
      <xdr:rowOff>68153</xdr:rowOff>
    </xdr:to>
    <xdr:pic>
      <xdr:nvPicPr>
        <xdr:cNvPr id="3" name="図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9113382" y="150356"/>
          <a:ext cx="1955358" cy="27480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208359</xdr:colOff>
      <xdr:row>11</xdr:row>
      <xdr:rowOff>476250</xdr:rowOff>
    </xdr:from>
    <xdr:to>
      <xdr:col>9</xdr:col>
      <xdr:colOff>961710</xdr:colOff>
      <xdr:row>15</xdr:row>
      <xdr:rowOff>598714</xdr:rowOff>
    </xdr:to>
    <xdr:sp macro="" textlink="">
      <xdr:nvSpPr>
        <xdr:cNvPr id="8" name="テキスト ボックス 7" descr="住所&#10;郵便番号、都道府県、市&#10;&#10;電話&#10;FAX&#10;電子メール&#10;Web" title="アドレス帳">
          <a:extLst>
            <a:ext uri="{FF2B5EF4-FFF2-40B4-BE49-F238E27FC236}">
              <a16:creationId xmlns:a16="http://schemas.microsoft.com/office/drawing/2014/main" id="{00000000-0008-0000-0C00-000008000000}"/>
            </a:ext>
          </a:extLst>
        </xdr:cNvPr>
        <xdr:cNvSpPr txBox="1"/>
      </xdr:nvSpPr>
      <xdr:spPr>
        <a:xfrm>
          <a:off x="8780859" y="5456464"/>
          <a:ext cx="1937172" cy="1524000"/>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ベイサイド本牧スポーツ</a:t>
          </a:r>
          <a:endParaRPr lang="en-US" altLang="ja-JP" sz="1100" b="0" i="0" baseline="0">
            <a:solidFill>
              <a:schemeClr val="dk1"/>
            </a:solidFill>
            <a:effectLst/>
            <a:latin typeface="+mn-lt"/>
            <a:ea typeface="+mn-ea"/>
            <a:cs typeface="+mn-cs"/>
          </a:endParaRPr>
        </a:p>
        <a:p>
          <a:pPr eaLnBrk="1" fontAlgn="auto" latinLnBrk="0" hangingPunct="1"/>
          <a:r>
            <a:rPr lang="ja-JP" altLang="ja-JP" sz="1100" b="0" i="0" baseline="0">
              <a:solidFill>
                <a:schemeClr val="dk1"/>
              </a:solidFill>
              <a:effectLst/>
              <a:latin typeface="+mn-lt"/>
              <a:ea typeface="+mn-ea"/>
              <a:cs typeface="+mn-cs"/>
            </a:rPr>
            <a:t>アカデミー</a:t>
          </a:r>
          <a:endParaRPr lang="ja-JP" altLang="ja-JP" sz="1000">
            <a:effectLst/>
          </a:endParaRPr>
        </a:p>
        <a:p>
          <a:pPr eaLnBrk="1" fontAlgn="auto" latinLnBrk="0" hangingPunct="1"/>
          <a:br>
            <a:rPr lang="en-US" altLang="ja-JP" sz="1100" b="0" i="0" baseline="0">
              <a:solidFill>
                <a:schemeClr val="dk1"/>
              </a:solidFill>
              <a:effectLst/>
              <a:latin typeface="+mn-lt"/>
              <a:ea typeface="+mn-ea"/>
              <a:cs typeface="+mn-cs"/>
            </a:rPr>
          </a:br>
          <a:r>
            <a:rPr lang="ja-JP" altLang="ja-JP" sz="1100" b="0" i="0" baseline="0">
              <a:solidFill>
                <a:schemeClr val="dk1"/>
              </a:solidFill>
              <a:effectLst/>
              <a:latin typeface="+mn-lt"/>
              <a:ea typeface="+mn-ea"/>
              <a:cs typeface="+mn-cs"/>
            </a:rPr>
            <a:t>各クラスが最小遂行人数以下の場合、前クラスの活動を継続する場合もあります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204107</xdr:colOff>
      <xdr:row>4</xdr:row>
      <xdr:rowOff>18369</xdr:rowOff>
    </xdr:from>
    <xdr:to>
      <xdr:col>9</xdr:col>
      <xdr:colOff>979715</xdr:colOff>
      <xdr:row>10</xdr:row>
      <xdr:rowOff>27236</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8889" r="9316"/>
        <a:stretch/>
      </xdr:blipFill>
      <xdr:spPr>
        <a:xfrm>
          <a:off x="9048750" y="1705655"/>
          <a:ext cx="1959429" cy="31385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316706</xdr:colOff>
      <xdr:row>13</xdr:row>
      <xdr:rowOff>52388</xdr:rowOff>
    </xdr:from>
    <xdr:to>
      <xdr:col>9</xdr:col>
      <xdr:colOff>1075159</xdr:colOff>
      <xdr:row>15</xdr:row>
      <xdr:rowOff>807926</xdr:rowOff>
    </xdr:to>
    <xdr:sp macro="" textlink="">
      <xdr:nvSpPr>
        <xdr:cNvPr id="3" name="テキスト ボックス 2" descr="住所&#10;郵便番号、都道府県、市&#10;&#10;電話&#10;FAX&#10;電子メール&#10;Web" title="アドレス帳">
          <a:extLst>
            <a:ext uri="{FF2B5EF4-FFF2-40B4-BE49-F238E27FC236}">
              <a16:creationId xmlns:a16="http://schemas.microsoft.com/office/drawing/2014/main" id="{00000000-0008-0000-0D00-000003000000}"/>
            </a:ext>
          </a:extLst>
        </xdr:cNvPr>
        <xdr:cNvSpPr txBox="1"/>
      </xdr:nvSpPr>
      <xdr:spPr>
        <a:xfrm>
          <a:off x="8591550" y="5922169"/>
          <a:ext cx="1937172" cy="2112851"/>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b"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6</xdr:col>
      <xdr:colOff>152401</xdr:colOff>
      <xdr:row>5</xdr:row>
      <xdr:rowOff>488130</xdr:rowOff>
    </xdr:from>
    <xdr:to>
      <xdr:col>7</xdr:col>
      <xdr:colOff>21430</xdr:colOff>
      <xdr:row>7</xdr:row>
      <xdr:rowOff>647719</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5117307" y="2357411"/>
          <a:ext cx="1543049" cy="1266871"/>
        </a:xfrm>
        <a:prstGeom prst="rect">
          <a:avLst/>
        </a:prstGeom>
      </xdr:spPr>
    </xdr:pic>
    <xdr:clientData/>
  </xdr:twoCellAnchor>
  <xdr:oneCellAnchor>
    <xdr:from>
      <xdr:col>1</xdr:col>
      <xdr:colOff>26192</xdr:colOff>
      <xdr:row>5</xdr:row>
      <xdr:rowOff>4762</xdr:rowOff>
    </xdr:from>
    <xdr:ext cx="4729162" cy="1971675"/>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288130" y="1874043"/>
          <a:ext cx="4729162" cy="1971675"/>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b="1">
              <a:solidFill>
                <a:schemeClr val="tx1"/>
              </a:solidFill>
            </a:rPr>
            <a:t>2022</a:t>
          </a:r>
          <a:r>
            <a:rPr kumimoji="1" lang="ja-JP" altLang="en-US" sz="1600" b="1">
              <a:solidFill>
                <a:schemeClr val="tx1"/>
              </a:solidFill>
            </a:rPr>
            <a:t>、</a:t>
          </a:r>
          <a:r>
            <a:rPr kumimoji="1" lang="en-US" altLang="ja-JP" sz="1600" b="1">
              <a:solidFill>
                <a:schemeClr val="tx1"/>
              </a:solidFill>
            </a:rPr>
            <a:t>23</a:t>
          </a:r>
          <a:r>
            <a:rPr kumimoji="1" lang="ja-JP" altLang="en-US" sz="1600" b="1">
              <a:solidFill>
                <a:schemeClr val="tx1"/>
              </a:solidFill>
            </a:rPr>
            <a:t>年：</a:t>
          </a:r>
          <a:r>
            <a:rPr kumimoji="1" lang="ja-JP" altLang="en-US" sz="1600" b="1">
              <a:solidFill>
                <a:srgbClr val="FF0000"/>
              </a:solidFill>
            </a:rPr>
            <a:t>楽天オープンテニスで</a:t>
          </a:r>
          <a:r>
            <a:rPr kumimoji="1" lang="ja-JP" altLang="en-US" sz="1600" b="1">
              <a:solidFill>
                <a:schemeClr val="tx1"/>
              </a:solidFill>
              <a:effectLst/>
              <a:latin typeface="+mn-lt"/>
              <a:ea typeface="+mn-ea"/>
              <a:cs typeface="+mn-cs"/>
            </a:rPr>
            <a:t>大活躍した</a:t>
          </a:r>
          <a:r>
            <a:rPr kumimoji="1" lang="en-US" altLang="ja-JP" sz="2000" b="1">
              <a:solidFill>
                <a:srgbClr val="FF0000"/>
              </a:solidFill>
              <a:effectLst/>
              <a:latin typeface="+mn-lt"/>
              <a:ea typeface="+mn-ea"/>
              <a:cs typeface="+mn-cs"/>
            </a:rPr>
            <a:t>【</a:t>
          </a:r>
          <a:r>
            <a:rPr kumimoji="1" lang="ja-JP" altLang="en-US" sz="2000" b="1">
              <a:solidFill>
                <a:srgbClr val="FF0000"/>
              </a:solidFill>
              <a:effectLst/>
              <a:latin typeface="+mn-lt"/>
              <a:ea typeface="+mn-ea"/>
              <a:cs typeface="+mn-cs"/>
            </a:rPr>
            <a:t>野口莉央選手</a:t>
          </a:r>
          <a:r>
            <a:rPr kumimoji="1" lang="en-US" altLang="ja-JP" sz="2000" b="1">
              <a:solidFill>
                <a:srgbClr val="FF0000"/>
              </a:solidFill>
              <a:effectLst/>
              <a:latin typeface="+mn-lt"/>
              <a:ea typeface="+mn-ea"/>
              <a:cs typeface="+mn-cs"/>
            </a:rPr>
            <a:t>】</a:t>
          </a:r>
        </a:p>
        <a:p>
          <a:r>
            <a:rPr kumimoji="1" lang="ja-JP" altLang="en-US" sz="1600" b="1">
              <a:solidFill>
                <a:schemeClr val="tx1"/>
              </a:solidFill>
              <a:effectLst/>
              <a:latin typeface="+mn-lt"/>
              <a:ea typeface="+mn-ea"/>
              <a:cs typeface="+mn-cs"/>
            </a:rPr>
            <a:t>彼の中学時代のコーチはなんと世界のテニス界をリードする</a:t>
          </a:r>
          <a:r>
            <a:rPr kumimoji="1" lang="ja-JP" altLang="en-US" sz="2000" b="1">
              <a:solidFill>
                <a:sysClr val="windowText" lastClr="000000"/>
              </a:solidFill>
              <a:effectLst/>
              <a:latin typeface="+mn-lt"/>
              <a:ea typeface="+mn-ea"/>
              <a:cs typeface="+mn-cs"/>
            </a:rPr>
            <a:t>ノバク・ジョコビッチ</a:t>
          </a:r>
          <a:r>
            <a:rPr kumimoji="1" lang="ja-JP" altLang="en-US" sz="1600" b="1">
              <a:solidFill>
                <a:sysClr val="windowText" lastClr="000000"/>
              </a:solidFill>
              <a:effectLst/>
              <a:latin typeface="+mn-lt"/>
              <a:ea typeface="+mn-ea"/>
              <a:cs typeface="+mn-cs"/>
            </a:rPr>
            <a:t>の友人</a:t>
          </a:r>
          <a:r>
            <a:rPr kumimoji="1" lang="ja-JP" altLang="en-US" sz="1600" b="1">
              <a:solidFill>
                <a:schemeClr val="tx1"/>
              </a:solidFill>
              <a:effectLst/>
              <a:latin typeface="+mn-lt"/>
              <a:ea typeface="+mn-ea"/>
              <a:cs typeface="+mn-cs"/>
            </a:rPr>
            <a:t>でもある</a:t>
          </a:r>
          <a:r>
            <a:rPr kumimoji="1" lang="en-US" altLang="ja-JP" sz="2000" b="1">
              <a:solidFill>
                <a:schemeClr val="tx1"/>
              </a:solidFill>
              <a:effectLst/>
              <a:latin typeface="+mn-lt"/>
              <a:ea typeface="+mn-ea"/>
              <a:cs typeface="+mn-cs"/>
            </a:rPr>
            <a:t>【</a:t>
          </a:r>
          <a:r>
            <a:rPr kumimoji="1" lang="ja-JP" altLang="en-US" sz="2000" b="1">
              <a:solidFill>
                <a:srgbClr val="FF0000"/>
              </a:solidFill>
              <a:effectLst/>
              <a:latin typeface="+mn-lt"/>
              <a:ea typeface="+mn-ea"/>
              <a:cs typeface="+mn-cs"/>
            </a:rPr>
            <a:t>ボシコ・テシッチ</a:t>
          </a:r>
          <a:r>
            <a:rPr kumimoji="1" lang="en-US" altLang="ja-JP" sz="2000" b="1">
              <a:solidFill>
                <a:schemeClr val="tx1"/>
              </a:solidFill>
              <a:effectLst/>
              <a:latin typeface="+mn-lt"/>
              <a:ea typeface="+mn-ea"/>
              <a:cs typeface="+mn-cs"/>
            </a:rPr>
            <a:t>】</a:t>
          </a:r>
          <a:r>
            <a:rPr kumimoji="1" lang="ja-JP" altLang="en-US" sz="1200" b="1">
              <a:solidFill>
                <a:schemeClr val="tx1"/>
              </a:solidFill>
              <a:effectLst/>
              <a:latin typeface="+mn-lt"/>
              <a:ea typeface="+mn-ea"/>
              <a:cs typeface="+mn-cs"/>
            </a:rPr>
            <a:t>写真</a:t>
          </a:r>
          <a:r>
            <a:rPr kumimoji="1" lang="en-US" altLang="ja-JP" sz="1200" b="1">
              <a:solidFill>
                <a:schemeClr val="tx1"/>
              </a:solidFill>
              <a:effectLst/>
              <a:latin typeface="+mn-lt"/>
              <a:ea typeface="+mn-ea"/>
              <a:cs typeface="+mn-cs"/>
            </a:rPr>
            <a:t>:</a:t>
          </a:r>
          <a:r>
            <a:rPr kumimoji="1" lang="ja-JP" altLang="en-US" sz="1200" b="1">
              <a:solidFill>
                <a:schemeClr val="tx1"/>
              </a:solidFill>
              <a:effectLst/>
              <a:latin typeface="+mn-lt"/>
              <a:ea typeface="+mn-ea"/>
              <a:cs typeface="+mn-cs"/>
            </a:rPr>
            <a:t>ノバクの隣人　　　　　</a:t>
          </a:r>
          <a:r>
            <a:rPr kumimoji="1" lang="ja-JP" altLang="en-US" sz="1600" b="1">
              <a:solidFill>
                <a:schemeClr val="tx1"/>
              </a:solidFill>
              <a:effectLst/>
              <a:latin typeface="+mn-lt"/>
              <a:ea typeface="+mn-ea"/>
              <a:cs typeface="+mn-cs"/>
            </a:rPr>
            <a:t>彼もまた、私の大切なパートナーでも有る</a:t>
          </a:r>
          <a:endParaRPr kumimoji="1" lang="en-US" altLang="ja-JP" sz="2000" b="1">
            <a:solidFill>
              <a:sysClr val="windowText" lastClr="000000"/>
            </a:solidFill>
          </a:endParaRPr>
        </a:p>
      </xdr:txBody>
    </xdr:sp>
    <xdr:clientData/>
  </xdr:oneCellAnchor>
  <xdr:oneCellAnchor>
    <xdr:from>
      <xdr:col>1</xdr:col>
      <xdr:colOff>4762</xdr:colOff>
      <xdr:row>9</xdr:row>
      <xdr:rowOff>202406</xdr:rowOff>
    </xdr:from>
    <xdr:ext cx="4726782" cy="2940844"/>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266700" y="4191000"/>
          <a:ext cx="4726782" cy="2940844"/>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solidFill>
                <a:schemeClr val="tx1"/>
              </a:solidFill>
            </a:rPr>
            <a:t>そして、ノバク・ジョコビッチのジュニア時代で基礎を築き上げた名コーチ（モノクロ写真）エレナ・ゲンチッチ</a:t>
          </a:r>
          <a:endParaRPr kumimoji="0" lang="en-US" altLang="ja-JP" sz="1100" b="0" i="0" u="none" strike="noStrike">
            <a:solidFill>
              <a:schemeClr val="tx1"/>
            </a:solidFill>
            <a:effectLst/>
            <a:latin typeface="+mn-lt"/>
            <a:ea typeface="+mn-ea"/>
            <a:cs typeface="+mn-cs"/>
          </a:endParaRPr>
        </a:p>
        <a:p>
          <a:r>
            <a:rPr kumimoji="1" lang="ja-JP" altLang="en-US" sz="1800" b="1">
              <a:solidFill>
                <a:schemeClr val="tx1"/>
              </a:solidFill>
            </a:rPr>
            <a:t>エレナが当時していたユニークテニス</a:t>
          </a:r>
          <a:endParaRPr kumimoji="1" lang="en-US" altLang="ja-JP" sz="1800" b="1">
            <a:solidFill>
              <a:schemeClr val="tx1"/>
            </a:solidFill>
          </a:endParaRPr>
        </a:p>
        <a:p>
          <a:r>
            <a:rPr kumimoji="1" lang="ja-JP" altLang="en-US" sz="1800" b="1">
              <a:solidFill>
                <a:schemeClr val="tx1"/>
              </a:solidFill>
            </a:rPr>
            <a:t>どうしてユニークなのかはとても理論に則っていたからこそ結果にも繋がる</a:t>
          </a:r>
          <a:endParaRPr kumimoji="1" lang="en-US" altLang="ja-JP" sz="1800" b="1">
            <a:solidFill>
              <a:schemeClr val="tx1"/>
            </a:solidFill>
          </a:endParaRPr>
        </a:p>
        <a:p>
          <a:r>
            <a:rPr kumimoji="1" lang="en-US" altLang="ja-JP" sz="1800" b="1">
              <a:solidFill>
                <a:sysClr val="windowText" lastClr="000000"/>
              </a:solidFill>
            </a:rPr>
            <a:t>Academy</a:t>
          </a:r>
          <a:r>
            <a:rPr kumimoji="1" lang="ja-JP" altLang="en-US" sz="1800" b="1">
              <a:solidFill>
                <a:sysClr val="windowText" lastClr="000000"/>
              </a:solidFill>
            </a:rPr>
            <a:t>（</a:t>
          </a:r>
          <a:r>
            <a:rPr kumimoji="1" lang="en-US" altLang="ja-JP" sz="1800" b="1">
              <a:solidFill>
                <a:sysClr val="windowText" lastClr="000000"/>
              </a:solidFill>
            </a:rPr>
            <a:t>ELSA</a:t>
          </a:r>
          <a:r>
            <a:rPr kumimoji="1" lang="ja-JP" altLang="en-US" sz="1800" b="1">
              <a:solidFill>
                <a:sysClr val="windowText" lastClr="000000"/>
              </a:solidFill>
            </a:rPr>
            <a:t>）はこの理論（科学：脳科学、（発達）心理学、解剖学等）をプロの指導者に教えるのが本来サービス！</a:t>
          </a:r>
          <a:endParaRPr kumimoji="1" lang="en-US" altLang="ja-JP" sz="1800" b="1">
            <a:solidFill>
              <a:sysClr val="windowText" lastClr="000000"/>
            </a:solidFill>
          </a:endParaRPr>
        </a:p>
      </xdr:txBody>
    </xdr:sp>
    <xdr:clientData/>
  </xdr:oneCellAnchor>
  <xdr:twoCellAnchor editAs="oneCell">
    <xdr:from>
      <xdr:col>8</xdr:col>
      <xdr:colOff>361949</xdr:colOff>
      <xdr:row>2</xdr:row>
      <xdr:rowOff>639206</xdr:rowOff>
    </xdr:from>
    <xdr:to>
      <xdr:col>9</xdr:col>
      <xdr:colOff>964406</xdr:colOff>
      <xdr:row>6</xdr:row>
      <xdr:rowOff>85736</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a:srcRect l="6308" r="13127"/>
        <a:stretch/>
      </xdr:blipFill>
      <xdr:spPr>
        <a:xfrm>
          <a:off x="8636793" y="1198800"/>
          <a:ext cx="1781176" cy="1672999"/>
        </a:xfrm>
        <a:prstGeom prst="rect">
          <a:avLst/>
        </a:prstGeom>
      </xdr:spPr>
    </xdr:pic>
    <xdr:clientData/>
  </xdr:twoCellAnchor>
  <xdr:twoCellAnchor editAs="oneCell">
    <xdr:from>
      <xdr:col>8</xdr:col>
      <xdr:colOff>345281</xdr:colOff>
      <xdr:row>5</xdr:row>
      <xdr:rowOff>488156</xdr:rowOff>
    </xdr:from>
    <xdr:to>
      <xdr:col>9</xdr:col>
      <xdr:colOff>970548</xdr:colOff>
      <xdr:row>7</xdr:row>
      <xdr:rowOff>707229</xdr:rowOff>
    </xdr:to>
    <xdr:pic>
      <xdr:nvPicPr>
        <xdr:cNvPr id="4" name="図 3" descr="11">
          <a:extLst>
            <a:ext uri="{FF2B5EF4-FFF2-40B4-BE49-F238E27FC236}">
              <a16:creationId xmlns:a16="http://schemas.microsoft.com/office/drawing/2014/main" id="{00000000-0008-0000-0D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060" t="15547" r="13892"/>
        <a:stretch/>
      </xdr:blipFill>
      <xdr:spPr bwMode="auto">
        <a:xfrm>
          <a:off x="8620125" y="2357437"/>
          <a:ext cx="1799224" cy="1326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345279</xdr:colOff>
      <xdr:row>7</xdr:row>
      <xdr:rowOff>331718</xdr:rowOff>
    </xdr:from>
    <xdr:to>
      <xdr:col>9</xdr:col>
      <xdr:colOff>981074</xdr:colOff>
      <xdr:row>10</xdr:row>
      <xdr:rowOff>95251</xdr:rowOff>
    </xdr:to>
    <xdr:pic>
      <xdr:nvPicPr>
        <xdr:cNvPr id="10" name="図 9" descr="ノバク・ジョコビッチ ストーリー 6歳で夢見たウィンブルドン優勝～素晴らしきコーチとの出会い - あかつきスポーツ☆18ニュース">
          <a:extLst>
            <a:ext uri="{FF2B5EF4-FFF2-40B4-BE49-F238E27FC236}">
              <a16:creationId xmlns:a16="http://schemas.microsoft.com/office/drawing/2014/main" id="{00000000-0008-0000-0D00-00000A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7465"/>
        <a:stretch/>
      </xdr:blipFill>
      <xdr:spPr bwMode="auto">
        <a:xfrm>
          <a:off x="8620123" y="3308281"/>
          <a:ext cx="1809752" cy="1597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123823</xdr:colOff>
      <xdr:row>11</xdr:row>
      <xdr:rowOff>809620</xdr:rowOff>
    </xdr:from>
    <xdr:to>
      <xdr:col>10</xdr:col>
      <xdr:colOff>57051</xdr:colOff>
      <xdr:row>13</xdr:row>
      <xdr:rowOff>885819</xdr:rowOff>
    </xdr:to>
    <xdr:pic>
      <xdr:nvPicPr>
        <xdr:cNvPr id="7" name="図 6" descr="Novak Djokovic on Jelena Gencic: My most important tennis mentor">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12979" y="5810245"/>
          <a:ext cx="2195416" cy="1088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333375</xdr:colOff>
      <xdr:row>9</xdr:row>
      <xdr:rowOff>610289</xdr:rowOff>
    </xdr:from>
    <xdr:to>
      <xdr:col>9</xdr:col>
      <xdr:colOff>964405</xdr:colOff>
      <xdr:row>11</xdr:row>
      <xdr:rowOff>807244</xdr:rowOff>
    </xdr:to>
    <xdr:pic>
      <xdr:nvPicPr>
        <xdr:cNvPr id="6" name="図 5" descr="ジョコビッチ来日イベント - BOSKO TESIC（ボシコ・テシッチ）オフィシャルブログ - テニスブログ｜テニス36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822531" y="4598883"/>
          <a:ext cx="1809749" cy="1208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130969</xdr:colOff>
      <xdr:row>12</xdr:row>
      <xdr:rowOff>142875</xdr:rowOff>
    </xdr:from>
    <xdr:to>
      <xdr:col>9</xdr:col>
      <xdr:colOff>1047750</xdr:colOff>
      <xdr:row>15</xdr:row>
      <xdr:rowOff>819831</xdr:rowOff>
    </xdr:to>
    <xdr:sp macro="" textlink="">
      <xdr:nvSpPr>
        <xdr:cNvPr id="5" name="テキスト ボックス 4" descr="住所&#10;郵便番号、都道府県、市&#10;&#10;電話&#10;FAX&#10;電子メール&#10;Web" title="アドレス帳">
          <a:extLst>
            <a:ext uri="{FF2B5EF4-FFF2-40B4-BE49-F238E27FC236}">
              <a16:creationId xmlns:a16="http://schemas.microsoft.com/office/drawing/2014/main" id="{00000000-0008-0000-0E00-000005000000}"/>
            </a:ext>
          </a:extLst>
        </xdr:cNvPr>
        <xdr:cNvSpPr txBox="1"/>
      </xdr:nvSpPr>
      <xdr:spPr>
        <a:xfrm>
          <a:off x="9286875" y="5869781"/>
          <a:ext cx="2095500" cy="1879488"/>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135732</xdr:colOff>
      <xdr:row>2</xdr:row>
      <xdr:rowOff>778668</xdr:rowOff>
    </xdr:from>
    <xdr:to>
      <xdr:col>9</xdr:col>
      <xdr:colOff>1009666</xdr:colOff>
      <xdr:row>5</xdr:row>
      <xdr:rowOff>807252</xdr:rowOff>
    </xdr:to>
    <xdr:pic>
      <xdr:nvPicPr>
        <xdr:cNvPr id="9" name="図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a:stretch>
          <a:fillRect/>
        </a:stretch>
      </xdr:blipFill>
      <xdr:spPr>
        <a:xfrm>
          <a:off x="9291638" y="1338262"/>
          <a:ext cx="2052653" cy="1333509"/>
        </a:xfrm>
        <a:prstGeom prst="rect">
          <a:avLst/>
        </a:prstGeom>
      </xdr:spPr>
    </xdr:pic>
    <xdr:clientData/>
  </xdr:twoCellAnchor>
  <xdr:oneCellAnchor>
    <xdr:from>
      <xdr:col>1</xdr:col>
      <xdr:colOff>178594</xdr:colOff>
      <xdr:row>6</xdr:row>
      <xdr:rowOff>171448</xdr:rowOff>
    </xdr:from>
    <xdr:ext cx="4333874" cy="1471613"/>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440532" y="2862261"/>
          <a:ext cx="4333874" cy="1471613"/>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chemeClr val="tx1"/>
              </a:solidFill>
            </a:rPr>
            <a:t>新年の予定</a:t>
          </a:r>
          <a:endParaRPr kumimoji="1" lang="en-US" altLang="ja-JP" sz="1600" b="1">
            <a:solidFill>
              <a:schemeClr val="tx1"/>
            </a:solidFill>
          </a:endParaRPr>
        </a:p>
        <a:p>
          <a:r>
            <a:rPr kumimoji="1" lang="ja-JP" altLang="en-US" sz="1600" b="1">
              <a:solidFill>
                <a:schemeClr val="tx1"/>
              </a:solidFill>
            </a:rPr>
            <a:t>２０２４年１月７日　８：００～１１：００学校校テニス部活動時間</a:t>
          </a:r>
          <a:endParaRPr kumimoji="1" lang="en-US" altLang="ja-JP" sz="1600" b="1">
            <a:solidFill>
              <a:schemeClr val="tx1"/>
            </a:solidFill>
          </a:endParaRPr>
        </a:p>
        <a:p>
          <a:r>
            <a:rPr kumimoji="1" lang="ja-JP" altLang="en-US" sz="1600" b="1" u="sng">
              <a:solidFill>
                <a:srgbClr val="FF0000"/>
              </a:solidFill>
            </a:rPr>
            <a:t>２０２４年１月７日　１３：００以降で</a:t>
          </a:r>
          <a:endParaRPr kumimoji="1" lang="en-US" altLang="ja-JP" sz="1600" b="1" u="sng">
            <a:solidFill>
              <a:srgbClr val="FF0000"/>
            </a:solidFill>
          </a:endParaRPr>
        </a:p>
        <a:p>
          <a:r>
            <a:rPr kumimoji="1" lang="ja-JP" altLang="en-US" sz="1600" b="1">
              <a:solidFill>
                <a:schemeClr val="tx1"/>
              </a:solidFill>
            </a:rPr>
            <a:t>当アカデミー活動予定</a:t>
          </a:r>
          <a:endParaRPr kumimoji="1" lang="en-US" altLang="ja-JP" sz="1600" b="1">
            <a:solidFill>
              <a:schemeClr val="tx1"/>
            </a:solidFill>
          </a:endParaRPr>
        </a:p>
        <a:p>
          <a:endParaRPr kumimoji="1" lang="en-US" altLang="ja-JP" sz="1600" b="1">
            <a:solidFill>
              <a:schemeClr val="tx1"/>
            </a:solidFill>
          </a:endParaRPr>
        </a:p>
        <a:p>
          <a:endParaRPr kumimoji="1" lang="en-US" altLang="ja-JP" sz="1600" b="1">
            <a:solidFill>
              <a:schemeClr val="tx1"/>
            </a:solidFill>
          </a:endParaRPr>
        </a:p>
      </xdr:txBody>
    </xdr:sp>
    <xdr:clientData/>
  </xdr:oneCellAnchor>
  <xdr:twoCellAnchor editAs="oneCell">
    <xdr:from>
      <xdr:col>8</xdr:col>
      <xdr:colOff>135731</xdr:colOff>
      <xdr:row>6</xdr:row>
      <xdr:rowOff>123823</xdr:rowOff>
    </xdr:from>
    <xdr:to>
      <xdr:col>9</xdr:col>
      <xdr:colOff>1056937</xdr:colOff>
      <xdr:row>9</xdr:row>
      <xdr:rowOff>600073</xdr:rowOff>
    </xdr:to>
    <xdr:pic>
      <xdr:nvPicPr>
        <xdr:cNvPr id="11" name="図 10">
          <a:extLst>
            <a:ext uri="{FF2B5EF4-FFF2-40B4-BE49-F238E27FC236}">
              <a16:creationId xmlns:a16="http://schemas.microsoft.com/office/drawing/2014/main" id="{00000000-0008-0000-0E00-00000B000000}"/>
            </a:ext>
          </a:extLst>
        </xdr:cNvPr>
        <xdr:cNvPicPr>
          <a:picLocks noChangeAspect="1"/>
        </xdr:cNvPicPr>
      </xdr:nvPicPr>
      <xdr:blipFill rotWithShape="1">
        <a:blip xmlns:r="http://schemas.openxmlformats.org/officeDocument/2006/relationships" r:embed="rId2"/>
        <a:srcRect t="8420"/>
        <a:stretch/>
      </xdr:blipFill>
      <xdr:spPr>
        <a:xfrm>
          <a:off x="9291637" y="2814636"/>
          <a:ext cx="2095163" cy="1678781"/>
        </a:xfrm>
        <a:prstGeom prst="rect">
          <a:avLst/>
        </a:prstGeom>
      </xdr:spPr>
    </xdr:pic>
    <xdr:clientData/>
  </xdr:twoCellAnchor>
  <xdr:twoCellAnchor editAs="oneCell">
    <xdr:from>
      <xdr:col>8</xdr:col>
      <xdr:colOff>142876</xdr:colOff>
      <xdr:row>9</xdr:row>
      <xdr:rowOff>631031</xdr:rowOff>
    </xdr:from>
    <xdr:to>
      <xdr:col>10</xdr:col>
      <xdr:colOff>11818</xdr:colOff>
      <xdr:row>12</xdr:row>
      <xdr:rowOff>95250</xdr:rowOff>
    </xdr:to>
    <xdr:pic>
      <xdr:nvPicPr>
        <xdr:cNvPr id="12" name="図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3"/>
        <a:stretch>
          <a:fillRect/>
        </a:stretch>
      </xdr:blipFill>
      <xdr:spPr>
        <a:xfrm>
          <a:off x="9298782" y="4524375"/>
          <a:ext cx="2131130" cy="12977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242351</xdr:colOff>
      <xdr:row>13</xdr:row>
      <xdr:rowOff>742949</xdr:rowOff>
    </xdr:from>
    <xdr:to>
      <xdr:col>9</xdr:col>
      <xdr:colOff>985838</xdr:colOff>
      <xdr:row>16</xdr:row>
      <xdr:rowOff>8668</xdr:rowOff>
    </xdr:to>
    <xdr:sp macro="" textlink="">
      <xdr:nvSpPr>
        <xdr:cNvPr id="25" name="テキスト ボックス 24" descr="住所&#10;郵便番号、都道府県、市&#10;&#10;電話&#10;FAX&#10;電子メール&#10;Web" title="アドレス帳">
          <a:extLst>
            <a:ext uri="{FF2B5EF4-FFF2-40B4-BE49-F238E27FC236}">
              <a16:creationId xmlns:a16="http://schemas.microsoft.com/office/drawing/2014/main" id="{00000000-0008-0000-0300-000019000000}"/>
            </a:ext>
          </a:extLst>
        </xdr:cNvPr>
        <xdr:cNvSpPr txBox="1"/>
      </xdr:nvSpPr>
      <xdr:spPr>
        <a:xfrm>
          <a:off x="8660070" y="6362699"/>
          <a:ext cx="1922206" cy="1361219"/>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1047750</xdr:colOff>
          <xdr:row>1</xdr:row>
          <xdr:rowOff>90488</xdr:rowOff>
        </xdr:from>
        <xdr:to>
          <xdr:col>11</xdr:col>
          <xdr:colOff>114300</xdr:colOff>
          <xdr:row>1</xdr:row>
          <xdr:rowOff>319088</xdr:rowOff>
        </xdr:to>
        <xdr:sp macro="" textlink="">
          <xdr:nvSpPr>
            <xdr:cNvPr id="1026" name="スピン ボタン 2" descr="スピン コントロールです。スピン ボタンを使用して、カレンダーの年を変更するか、セル L2 に適切な年を入力します。"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0</xdr:col>
      <xdr:colOff>250031</xdr:colOff>
      <xdr:row>7</xdr:row>
      <xdr:rowOff>421481</xdr:rowOff>
    </xdr:from>
    <xdr:ext cx="4548188" cy="291227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50031" y="2695575"/>
          <a:ext cx="4548188" cy="2912270"/>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chemeClr val="tx1"/>
              </a:solidFill>
            </a:rPr>
            <a:t>●</a:t>
          </a:r>
          <a:r>
            <a:rPr kumimoji="1" lang="en-US" altLang="ja-JP" sz="2000" b="1">
              <a:solidFill>
                <a:schemeClr val="tx1"/>
              </a:solidFill>
            </a:rPr>
            <a:t>23</a:t>
          </a:r>
          <a:r>
            <a:rPr kumimoji="1" lang="ja-JP" altLang="en-US" sz="2000" b="1">
              <a:solidFill>
                <a:schemeClr val="tx1"/>
              </a:solidFill>
            </a:rPr>
            <a:t>年４月：中学校部活動改革</a:t>
          </a:r>
          <a:endParaRPr kumimoji="1" lang="en-US" altLang="ja-JP" sz="2000" b="1">
            <a:solidFill>
              <a:schemeClr val="tx1"/>
            </a:solidFill>
          </a:endParaRPr>
        </a:p>
        <a:p>
          <a:r>
            <a:rPr kumimoji="1" lang="ja-JP" altLang="en-US" sz="2000" b="1">
              <a:solidFill>
                <a:schemeClr val="tx1"/>
              </a:solidFill>
            </a:rPr>
            <a:t>　週末部活動が無くなり地域移行へ</a:t>
          </a:r>
          <a:endParaRPr kumimoji="1" lang="en-US" altLang="ja-JP" sz="2000" b="1">
            <a:solidFill>
              <a:schemeClr val="tx1"/>
            </a:solidFill>
          </a:endParaRPr>
        </a:p>
        <a:p>
          <a:r>
            <a:rPr kumimoji="1" lang="ja-JP" altLang="en-US" sz="2000" b="1">
              <a:solidFill>
                <a:schemeClr val="tx1"/>
              </a:solidFill>
            </a:rPr>
            <a:t>　何するの？</a:t>
          </a:r>
          <a:endParaRPr kumimoji="1" lang="en-US" altLang="ja-JP" sz="2000" b="1">
            <a:solidFill>
              <a:schemeClr val="tx1"/>
            </a:solidFill>
          </a:endParaRPr>
        </a:p>
        <a:p>
          <a:r>
            <a:rPr kumimoji="1" lang="ja-JP" altLang="en-US" sz="2000" b="1">
              <a:solidFill>
                <a:schemeClr val="tx1"/>
              </a:solidFill>
            </a:rPr>
            <a:t>　脳活で勉強（成績ＵＰ）・思考力</a:t>
          </a:r>
          <a:endParaRPr kumimoji="1" lang="en-US" altLang="ja-JP" sz="2000" b="1">
            <a:solidFill>
              <a:schemeClr val="tx1"/>
            </a:solidFill>
          </a:endParaRPr>
        </a:p>
        <a:p>
          <a:r>
            <a:rPr kumimoji="1" lang="ja-JP" altLang="en-US" sz="2000" b="1">
              <a:solidFill>
                <a:schemeClr val="tx1"/>
              </a:solidFill>
            </a:rPr>
            <a:t>　判断力等総合的に向上させません</a:t>
          </a:r>
          <a:endParaRPr kumimoji="1" lang="en-US" altLang="ja-JP" sz="2000" b="1">
            <a:solidFill>
              <a:schemeClr val="tx1"/>
            </a:solidFill>
          </a:endParaRPr>
        </a:p>
        <a:p>
          <a:r>
            <a:rPr kumimoji="1" lang="ja-JP" altLang="en-US" sz="2000" b="1">
              <a:solidFill>
                <a:schemeClr val="tx1"/>
              </a:solidFill>
            </a:rPr>
            <a:t>　か？</a:t>
          </a:r>
          <a:endParaRPr kumimoji="1" lang="en-US" altLang="ja-JP" sz="2000" b="1">
            <a:solidFill>
              <a:schemeClr val="tx1"/>
            </a:solidFill>
          </a:endParaRPr>
        </a:p>
        <a:p>
          <a:endParaRPr kumimoji="1" lang="en-US" altLang="ja-JP" sz="2000" b="1">
            <a:solidFill>
              <a:sysClr val="windowText" lastClr="000000"/>
            </a:solidFill>
          </a:endParaRPr>
        </a:p>
        <a:p>
          <a:r>
            <a:rPr kumimoji="1" lang="en-US" altLang="ja-JP" sz="2000" b="1">
              <a:solidFill>
                <a:srgbClr val="FF0000"/>
              </a:solidFill>
            </a:rPr>
            <a:t>※</a:t>
          </a:r>
          <a:r>
            <a:rPr kumimoji="1" lang="ja-JP" altLang="en-US" sz="2000" b="1">
              <a:solidFill>
                <a:srgbClr val="FF0000"/>
              </a:solidFill>
            </a:rPr>
            <a:t>現在、土曜日は振替枠として活用中</a:t>
          </a:r>
          <a:endParaRPr kumimoji="1" lang="en-US" altLang="ja-JP" sz="2000" b="1">
            <a:solidFill>
              <a:sysClr val="windowText" lastClr="000000"/>
            </a:solidFill>
          </a:endParaRPr>
        </a:p>
      </xdr:txBody>
    </xdr:sp>
    <xdr:clientData/>
  </xdr:oneCellAnchor>
  <xdr:twoCellAnchor>
    <xdr:from>
      <xdr:col>8</xdr:col>
      <xdr:colOff>242886</xdr:colOff>
      <xdr:row>13</xdr:row>
      <xdr:rowOff>714375</xdr:rowOff>
    </xdr:from>
    <xdr:to>
      <xdr:col>9</xdr:col>
      <xdr:colOff>992980</xdr:colOff>
      <xdr:row>15</xdr:row>
      <xdr:rowOff>809625</xdr:rowOff>
    </xdr:to>
    <xdr:sp macro="" textlink="">
      <xdr:nvSpPr>
        <xdr:cNvPr id="3" name="テキスト ボックス 2" descr="住所&#10;郵便番号、都道府県、市&#10;&#10;電話&#10;FAX&#10;電子メール&#10;Web" title="アドレス帳">
          <a:extLst>
            <a:ext uri="{FF2B5EF4-FFF2-40B4-BE49-F238E27FC236}">
              <a16:creationId xmlns:a16="http://schemas.microsoft.com/office/drawing/2014/main" id="{00000000-0008-0000-0300-000003000000}"/>
            </a:ext>
          </a:extLst>
        </xdr:cNvPr>
        <xdr:cNvSpPr txBox="1"/>
      </xdr:nvSpPr>
      <xdr:spPr>
        <a:xfrm>
          <a:off x="8660605" y="6334125"/>
          <a:ext cx="1928813" cy="1369219"/>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266699</xdr:colOff>
      <xdr:row>3</xdr:row>
      <xdr:rowOff>16667</xdr:rowOff>
    </xdr:from>
    <xdr:to>
      <xdr:col>9</xdr:col>
      <xdr:colOff>933052</xdr:colOff>
      <xdr:row>7</xdr:row>
      <xdr:rowOff>588166</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8684418" y="1362073"/>
          <a:ext cx="1845072" cy="1500187"/>
        </a:xfrm>
        <a:prstGeom prst="rect">
          <a:avLst/>
        </a:prstGeom>
      </xdr:spPr>
    </xdr:pic>
    <xdr:clientData/>
  </xdr:twoCellAnchor>
  <xdr:twoCellAnchor editAs="oneCell">
    <xdr:from>
      <xdr:col>8</xdr:col>
      <xdr:colOff>259556</xdr:colOff>
      <xdr:row>7</xdr:row>
      <xdr:rowOff>706593</xdr:rowOff>
    </xdr:from>
    <xdr:to>
      <xdr:col>9</xdr:col>
      <xdr:colOff>945666</xdr:colOff>
      <xdr:row>10</xdr:row>
      <xdr:rowOff>88107</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163" r="56466" b="30021"/>
        <a:stretch/>
      </xdr:blipFill>
      <xdr:spPr>
        <a:xfrm>
          <a:off x="8677275" y="2980687"/>
          <a:ext cx="1864829" cy="1500826"/>
        </a:xfrm>
        <a:prstGeom prst="rect">
          <a:avLst/>
        </a:prstGeom>
      </xdr:spPr>
    </xdr:pic>
    <xdr:clientData/>
  </xdr:twoCellAnchor>
  <xdr:twoCellAnchor editAs="oneCell">
    <xdr:from>
      <xdr:col>8</xdr:col>
      <xdr:colOff>250027</xdr:colOff>
      <xdr:row>10</xdr:row>
      <xdr:rowOff>183356</xdr:rowOff>
    </xdr:from>
    <xdr:to>
      <xdr:col>9</xdr:col>
      <xdr:colOff>970691</xdr:colOff>
      <xdr:row>13</xdr:row>
      <xdr:rowOff>571500</xdr:rowOff>
    </xdr:to>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54" b="12552"/>
        <a:stretch/>
      </xdr:blipFill>
      <xdr:spPr>
        <a:xfrm>
          <a:off x="8667746" y="4576762"/>
          <a:ext cx="1899383" cy="16144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323835</xdr:colOff>
      <xdr:row>3</xdr:row>
      <xdr:rowOff>266713</xdr:rowOff>
    </xdr:from>
    <xdr:to>
      <xdr:col>9</xdr:col>
      <xdr:colOff>1029913</xdr:colOff>
      <xdr:row>7</xdr:row>
      <xdr:rowOff>195259</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b="64575"/>
        <a:stretch/>
      </xdr:blipFill>
      <xdr:spPr>
        <a:xfrm rot="16200000">
          <a:off x="9237476" y="1401947"/>
          <a:ext cx="1464453" cy="1884797"/>
        </a:xfrm>
        <a:prstGeom prst="rect">
          <a:avLst/>
        </a:prstGeom>
      </xdr:spPr>
    </xdr:pic>
    <xdr:clientData/>
  </xdr:twoCellAnchor>
  <xdr:twoCellAnchor editAs="oneCell">
    <xdr:from>
      <xdr:col>8</xdr:col>
      <xdr:colOff>307180</xdr:colOff>
      <xdr:row>7</xdr:row>
      <xdr:rowOff>469105</xdr:rowOff>
    </xdr:from>
    <xdr:to>
      <xdr:col>9</xdr:col>
      <xdr:colOff>1046770</xdr:colOff>
      <xdr:row>9</xdr:row>
      <xdr:rowOff>797719</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9010649" y="3350418"/>
          <a:ext cx="1918309" cy="1364457"/>
        </a:xfrm>
        <a:prstGeom prst="rect">
          <a:avLst/>
        </a:prstGeom>
      </xdr:spPr>
    </xdr:pic>
    <xdr:clientData/>
  </xdr:twoCellAnchor>
  <xdr:twoCellAnchor>
    <xdr:from>
      <xdr:col>8</xdr:col>
      <xdr:colOff>292893</xdr:colOff>
      <xdr:row>12</xdr:row>
      <xdr:rowOff>78581</xdr:rowOff>
    </xdr:from>
    <xdr:to>
      <xdr:col>9</xdr:col>
      <xdr:colOff>1042987</xdr:colOff>
      <xdr:row>15</xdr:row>
      <xdr:rowOff>240507</xdr:rowOff>
    </xdr:to>
    <xdr:sp macro="" textlink="">
      <xdr:nvSpPr>
        <xdr:cNvPr id="8" name="テキスト ボックス 7" descr="住所&#10;郵便番号、都道府県、市&#10;&#10;電話&#10;FAX&#10;電子メール&#10;Web" title="アドレス帳">
          <a:extLst>
            <a:ext uri="{FF2B5EF4-FFF2-40B4-BE49-F238E27FC236}">
              <a16:creationId xmlns:a16="http://schemas.microsoft.com/office/drawing/2014/main" id="{00000000-0008-0000-0400-000008000000}"/>
            </a:ext>
          </a:extLst>
        </xdr:cNvPr>
        <xdr:cNvSpPr txBox="1"/>
      </xdr:nvSpPr>
      <xdr:spPr>
        <a:xfrm>
          <a:off x="8996362" y="5829300"/>
          <a:ext cx="1928813" cy="1364457"/>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135730</xdr:colOff>
      <xdr:row>6</xdr:row>
      <xdr:rowOff>1</xdr:rowOff>
    </xdr:from>
    <xdr:ext cx="4095750" cy="2155030"/>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397668" y="2690814"/>
          <a:ext cx="4095750" cy="2155030"/>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chemeClr val="tx1"/>
              </a:solidFill>
            </a:rPr>
            <a:t>　</a:t>
          </a:r>
          <a:r>
            <a:rPr kumimoji="1" lang="en-US" altLang="ja-JP" sz="2000" b="1">
              <a:solidFill>
                <a:schemeClr val="tx1"/>
              </a:solidFill>
            </a:rPr>
            <a:t>23</a:t>
          </a:r>
          <a:r>
            <a:rPr kumimoji="1" lang="ja-JP" altLang="en-US" sz="2000" b="1">
              <a:solidFill>
                <a:schemeClr val="tx1"/>
              </a:solidFill>
            </a:rPr>
            <a:t>年４月から中学校の部活動</a:t>
          </a:r>
          <a:endParaRPr kumimoji="1" lang="en-US" altLang="ja-JP" sz="2000" b="1">
            <a:solidFill>
              <a:schemeClr val="tx1"/>
            </a:solidFill>
          </a:endParaRPr>
        </a:p>
        <a:p>
          <a:r>
            <a:rPr kumimoji="1" lang="ja-JP" altLang="en-US" sz="2000" b="1">
              <a:solidFill>
                <a:schemeClr val="tx1"/>
              </a:solidFill>
            </a:rPr>
            <a:t> （週末）が無くなります！</a:t>
          </a:r>
          <a:endParaRPr kumimoji="1" lang="en-US" altLang="ja-JP" sz="2000" b="1">
            <a:solidFill>
              <a:schemeClr val="tx1"/>
            </a:solidFill>
          </a:endParaRPr>
        </a:p>
        <a:p>
          <a:r>
            <a:rPr kumimoji="1" lang="ja-JP" altLang="en-US" sz="2000" b="1">
              <a:solidFill>
                <a:schemeClr val="tx1"/>
              </a:solidFill>
            </a:rPr>
            <a:t>　</a:t>
          </a:r>
          <a:endParaRPr kumimoji="1" lang="en-US" altLang="ja-JP" sz="2000" b="1">
            <a:solidFill>
              <a:schemeClr val="tx1"/>
            </a:solidFill>
          </a:endParaRPr>
        </a:p>
        <a:p>
          <a:r>
            <a:rPr kumimoji="1" lang="ja-JP" altLang="en-US" sz="2000" b="1">
              <a:solidFill>
                <a:schemeClr val="tx1"/>
              </a:solidFill>
            </a:rPr>
            <a:t>　新しく何か始めませんか？　</a:t>
          </a:r>
          <a:endParaRPr kumimoji="1" lang="en-US" altLang="ja-JP" sz="2000" b="1">
            <a:solidFill>
              <a:schemeClr val="tx1"/>
            </a:solidFill>
          </a:endParaRPr>
        </a:p>
        <a:p>
          <a:r>
            <a:rPr kumimoji="1" lang="ja-JP" altLang="en-US" sz="2000" b="1">
              <a:solidFill>
                <a:schemeClr val="tx1"/>
              </a:solidFill>
            </a:rPr>
            <a:t>　テニスコートを思う存分使って</a:t>
          </a:r>
          <a:endParaRPr kumimoji="1" lang="en-US" altLang="ja-JP" sz="2000" b="1">
            <a:solidFill>
              <a:schemeClr val="tx1"/>
            </a:solidFill>
          </a:endParaRPr>
        </a:p>
        <a:p>
          <a:r>
            <a:rPr kumimoji="1" lang="ja-JP" altLang="en-US" sz="2000" b="1">
              <a:solidFill>
                <a:schemeClr val="tx1"/>
              </a:solidFill>
            </a:rPr>
            <a:t>　みませんか？</a:t>
          </a:r>
          <a:endParaRPr kumimoji="1" lang="en-US" altLang="ja-JP" sz="2000" b="1">
            <a:solidFill>
              <a:sysClr val="windowText" lastClr="000000"/>
            </a:solidFill>
          </a:endParaRPr>
        </a:p>
      </xdr:txBody>
    </xdr:sp>
    <xdr:clientData/>
  </xdr:oneCellAnchor>
  <xdr:oneCellAnchor>
    <xdr:from>
      <xdr:col>6</xdr:col>
      <xdr:colOff>1612105</xdr:colOff>
      <xdr:row>9</xdr:row>
      <xdr:rowOff>71438</xdr:rowOff>
    </xdr:from>
    <xdr:ext cx="1700466" cy="503279"/>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6696074" y="3988594"/>
          <a:ext cx="1700466" cy="503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☚学校部活動行事の為</a:t>
          </a:r>
          <a:endParaRPr kumimoji="1" lang="en-US" altLang="ja-JP" sz="1200">
            <a:solidFill>
              <a:srgbClr val="FF0000"/>
            </a:solidFill>
          </a:endParaRPr>
        </a:p>
        <a:p>
          <a:r>
            <a:rPr kumimoji="1" lang="ja-JP" altLang="en-US" sz="1200">
              <a:solidFill>
                <a:srgbClr val="FF0000"/>
              </a:solidFill>
            </a:rPr>
            <a:t>　急遽中止</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8</xdr:col>
      <xdr:colOff>299191</xdr:colOff>
      <xdr:row>7</xdr:row>
      <xdr:rowOff>583405</xdr:rowOff>
    </xdr:from>
    <xdr:to>
      <xdr:col>9</xdr:col>
      <xdr:colOff>964406</xdr:colOff>
      <xdr:row>11</xdr:row>
      <xdr:rowOff>571500</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8669285" y="3488530"/>
          <a:ext cx="1843934" cy="2035970"/>
        </a:xfrm>
        <a:prstGeom prst="rect">
          <a:avLst/>
        </a:prstGeom>
      </xdr:spPr>
    </xdr:pic>
    <xdr:clientData/>
  </xdr:twoCellAnchor>
  <xdr:twoCellAnchor editAs="oneCell">
    <xdr:from>
      <xdr:col>8</xdr:col>
      <xdr:colOff>296653</xdr:colOff>
      <xdr:row>3</xdr:row>
      <xdr:rowOff>35718</xdr:rowOff>
    </xdr:from>
    <xdr:to>
      <xdr:col>9</xdr:col>
      <xdr:colOff>973719</xdr:colOff>
      <xdr:row>7</xdr:row>
      <xdr:rowOff>457198</xdr:rowOff>
    </xdr:to>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stretch>
          <a:fillRect/>
        </a:stretch>
      </xdr:blipFill>
      <xdr:spPr>
        <a:xfrm>
          <a:off x="8666747" y="1381124"/>
          <a:ext cx="1855785" cy="1976437"/>
        </a:xfrm>
        <a:prstGeom prst="rect">
          <a:avLst/>
        </a:prstGeom>
      </xdr:spPr>
    </xdr:pic>
    <xdr:clientData/>
  </xdr:twoCellAnchor>
  <xdr:oneCellAnchor>
    <xdr:from>
      <xdr:col>1</xdr:col>
      <xdr:colOff>214313</xdr:colOff>
      <xdr:row>5</xdr:row>
      <xdr:rowOff>600075</xdr:rowOff>
    </xdr:from>
    <xdr:ext cx="4095750" cy="2138364"/>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76251" y="2469356"/>
          <a:ext cx="4095750" cy="2138364"/>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chemeClr val="tx1"/>
              </a:solidFill>
            </a:rPr>
            <a:t>　</a:t>
          </a:r>
          <a:r>
            <a:rPr kumimoji="1" lang="en-US" altLang="ja-JP" sz="2000" b="1">
              <a:solidFill>
                <a:schemeClr val="tx1"/>
              </a:solidFill>
            </a:rPr>
            <a:t>23</a:t>
          </a:r>
          <a:r>
            <a:rPr kumimoji="1" lang="ja-JP" altLang="en-US" sz="2000" b="1">
              <a:solidFill>
                <a:schemeClr val="tx1"/>
              </a:solidFill>
            </a:rPr>
            <a:t>年４月から中学校の部活動</a:t>
          </a:r>
          <a:endParaRPr kumimoji="1" lang="en-US" altLang="ja-JP" sz="2000" b="1">
            <a:solidFill>
              <a:schemeClr val="tx1"/>
            </a:solidFill>
          </a:endParaRPr>
        </a:p>
        <a:p>
          <a:r>
            <a:rPr kumimoji="1" lang="ja-JP" altLang="en-US" sz="2000" b="1">
              <a:solidFill>
                <a:schemeClr val="tx1"/>
              </a:solidFill>
            </a:rPr>
            <a:t> （週末）が無くなります！</a:t>
          </a:r>
          <a:endParaRPr kumimoji="1" lang="en-US" altLang="ja-JP" sz="2000" b="1">
            <a:solidFill>
              <a:schemeClr val="tx1"/>
            </a:solidFill>
          </a:endParaRPr>
        </a:p>
        <a:p>
          <a:r>
            <a:rPr kumimoji="1" lang="ja-JP" altLang="en-US" sz="2000" b="1">
              <a:solidFill>
                <a:schemeClr val="tx1"/>
              </a:solidFill>
            </a:rPr>
            <a:t>　</a:t>
          </a:r>
          <a:endParaRPr kumimoji="1" lang="en-US" altLang="ja-JP" sz="2000" b="1">
            <a:solidFill>
              <a:schemeClr val="tx1"/>
            </a:solidFill>
          </a:endParaRPr>
        </a:p>
        <a:p>
          <a:r>
            <a:rPr kumimoji="1" lang="ja-JP" altLang="en-US" sz="2000" b="1">
              <a:solidFill>
                <a:schemeClr val="tx1"/>
              </a:solidFill>
            </a:rPr>
            <a:t>　１ヶ月切ってますが</a:t>
          </a:r>
          <a:endParaRPr kumimoji="1" lang="en-US" altLang="ja-JP" sz="2000" b="1">
            <a:solidFill>
              <a:schemeClr val="tx1"/>
            </a:solidFill>
          </a:endParaRPr>
        </a:p>
        <a:p>
          <a:r>
            <a:rPr kumimoji="1" lang="ja-JP" altLang="en-US" sz="2000" b="1">
              <a:solidFill>
                <a:schemeClr val="tx1"/>
              </a:solidFill>
            </a:rPr>
            <a:t>　新生活の準備は出来てますか？</a:t>
          </a:r>
          <a:endParaRPr kumimoji="1" lang="en-US" altLang="ja-JP" sz="2000" b="1">
            <a:solidFill>
              <a:schemeClr val="tx1"/>
            </a:solidFill>
          </a:endParaRPr>
        </a:p>
        <a:p>
          <a:r>
            <a:rPr kumimoji="1" lang="ja-JP" altLang="en-US" sz="2000" b="1">
              <a:solidFill>
                <a:schemeClr val="tx1"/>
              </a:solidFill>
            </a:rPr>
            <a:t>　</a:t>
          </a:r>
          <a:r>
            <a:rPr kumimoji="1" lang="ja-JP" altLang="en-US" sz="2000" b="1">
              <a:solidFill>
                <a:srgbClr val="FF0000"/>
              </a:solidFill>
            </a:rPr>
            <a:t>１８，１９日はお休み</a:t>
          </a:r>
          <a:endParaRPr kumimoji="1" lang="en-US" altLang="ja-JP" sz="2000" b="1">
            <a:solidFill>
              <a:srgbClr val="FF0000"/>
            </a:solidFill>
          </a:endParaRPr>
        </a:p>
      </xdr:txBody>
    </xdr:sp>
    <xdr:clientData/>
  </xdr:oneCellAnchor>
  <xdr:twoCellAnchor>
    <xdr:from>
      <xdr:col>8</xdr:col>
      <xdr:colOff>257174</xdr:colOff>
      <xdr:row>13</xdr:row>
      <xdr:rowOff>76200</xdr:rowOff>
    </xdr:from>
    <xdr:to>
      <xdr:col>9</xdr:col>
      <xdr:colOff>1012030</xdr:colOff>
      <xdr:row>15</xdr:row>
      <xdr:rowOff>438150</xdr:rowOff>
    </xdr:to>
    <xdr:sp macro="" textlink="">
      <xdr:nvSpPr>
        <xdr:cNvPr id="10" name="テキスト ボックス 9" descr="住所&#10;郵便番号、都道府県、市&#10;&#10;電話&#10;FAX&#10;電子メール&#10;Web" title="アドレス帳">
          <a:extLst>
            <a:ext uri="{FF2B5EF4-FFF2-40B4-BE49-F238E27FC236}">
              <a16:creationId xmlns:a16="http://schemas.microsoft.com/office/drawing/2014/main" id="{00000000-0008-0000-0500-00000A000000}"/>
            </a:ext>
          </a:extLst>
        </xdr:cNvPr>
        <xdr:cNvSpPr txBox="1"/>
      </xdr:nvSpPr>
      <xdr:spPr>
        <a:xfrm>
          <a:off x="8627268" y="6065044"/>
          <a:ext cx="1933575" cy="1373981"/>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173831</xdr:colOff>
      <xdr:row>12</xdr:row>
      <xdr:rowOff>100013</xdr:rowOff>
    </xdr:from>
    <xdr:to>
      <xdr:col>9</xdr:col>
      <xdr:colOff>928687</xdr:colOff>
      <xdr:row>15</xdr:row>
      <xdr:rowOff>276224</xdr:rowOff>
    </xdr:to>
    <xdr:sp macro="" textlink="">
      <xdr:nvSpPr>
        <xdr:cNvPr id="2" name="テキスト ボックス 1" descr="住所&#10;郵便番号、都道府県、市&#10;&#10;電話&#10;FAX&#10;電子メール&#10;Web" title="アドレス帳">
          <a:extLst>
            <a:ext uri="{FF2B5EF4-FFF2-40B4-BE49-F238E27FC236}">
              <a16:creationId xmlns:a16="http://schemas.microsoft.com/office/drawing/2014/main" id="{00000000-0008-0000-0600-000002000000}"/>
            </a:ext>
          </a:extLst>
        </xdr:cNvPr>
        <xdr:cNvSpPr txBox="1"/>
      </xdr:nvSpPr>
      <xdr:spPr>
        <a:xfrm>
          <a:off x="8901112" y="5826919"/>
          <a:ext cx="1933575" cy="137874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123825</xdr:colOff>
      <xdr:row>9</xdr:row>
      <xdr:rowOff>92665</xdr:rowOff>
    </xdr:from>
    <xdr:to>
      <xdr:col>9</xdr:col>
      <xdr:colOff>921544</xdr:colOff>
      <xdr:row>11</xdr:row>
      <xdr:rowOff>321469</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8851106" y="3986009"/>
          <a:ext cx="1971676" cy="1240835"/>
        </a:xfrm>
        <a:prstGeom prst="rect">
          <a:avLst/>
        </a:prstGeom>
      </xdr:spPr>
    </xdr:pic>
    <xdr:clientData/>
  </xdr:twoCellAnchor>
  <xdr:twoCellAnchor editAs="oneCell">
    <xdr:from>
      <xdr:col>8</xdr:col>
      <xdr:colOff>135731</xdr:colOff>
      <xdr:row>3</xdr:row>
      <xdr:rowOff>190499</xdr:rowOff>
    </xdr:from>
    <xdr:to>
      <xdr:col>9</xdr:col>
      <xdr:colOff>903404</xdr:colOff>
      <xdr:row>7</xdr:row>
      <xdr:rowOff>695323</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8863012" y="1535905"/>
          <a:ext cx="1941630" cy="20359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250030</xdr:colOff>
      <xdr:row>3</xdr:row>
      <xdr:rowOff>253986</xdr:rowOff>
    </xdr:from>
    <xdr:to>
      <xdr:col>9</xdr:col>
      <xdr:colOff>1012031</xdr:colOff>
      <xdr:row>7</xdr:row>
      <xdr:rowOff>733441</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8751093" y="1599392"/>
          <a:ext cx="1940719" cy="2015362"/>
        </a:xfrm>
        <a:prstGeom prst="rect">
          <a:avLst/>
        </a:prstGeom>
      </xdr:spPr>
    </xdr:pic>
    <xdr:clientData/>
  </xdr:twoCellAnchor>
  <xdr:twoCellAnchor editAs="oneCell">
    <xdr:from>
      <xdr:col>8</xdr:col>
      <xdr:colOff>250031</xdr:colOff>
      <xdr:row>9</xdr:row>
      <xdr:rowOff>35719</xdr:rowOff>
    </xdr:from>
    <xdr:to>
      <xdr:col>9</xdr:col>
      <xdr:colOff>1020315</xdr:colOff>
      <xdr:row>11</xdr:row>
      <xdr:rowOff>619124</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751094" y="3929063"/>
          <a:ext cx="1944240" cy="1619249"/>
        </a:xfrm>
        <a:prstGeom prst="rect">
          <a:avLst/>
        </a:prstGeom>
      </xdr:spPr>
    </xdr:pic>
    <xdr:clientData/>
  </xdr:twoCellAnchor>
  <xdr:twoCellAnchor>
    <xdr:from>
      <xdr:col>8</xdr:col>
      <xdr:colOff>264317</xdr:colOff>
      <xdr:row>12</xdr:row>
      <xdr:rowOff>52386</xdr:rowOff>
    </xdr:from>
    <xdr:to>
      <xdr:col>9</xdr:col>
      <xdr:colOff>1019174</xdr:colOff>
      <xdr:row>15</xdr:row>
      <xdr:rowOff>223836</xdr:rowOff>
    </xdr:to>
    <xdr:sp macro="" textlink="">
      <xdr:nvSpPr>
        <xdr:cNvPr id="4" name="テキスト ボックス 3" descr="住所&#10;郵便番号、都道府県、市&#10;&#10;電話&#10;FAX&#10;電子メール&#10;Web" title="アドレス帳">
          <a:extLst>
            <a:ext uri="{FF2B5EF4-FFF2-40B4-BE49-F238E27FC236}">
              <a16:creationId xmlns:a16="http://schemas.microsoft.com/office/drawing/2014/main" id="{00000000-0008-0000-0700-000004000000}"/>
            </a:ext>
          </a:extLst>
        </xdr:cNvPr>
        <xdr:cNvSpPr txBox="1"/>
      </xdr:nvSpPr>
      <xdr:spPr>
        <a:xfrm>
          <a:off x="8765380" y="6184105"/>
          <a:ext cx="1933575" cy="1373981"/>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295275</xdr:colOff>
      <xdr:row>11</xdr:row>
      <xdr:rowOff>742950</xdr:rowOff>
    </xdr:from>
    <xdr:to>
      <xdr:col>9</xdr:col>
      <xdr:colOff>1043524</xdr:colOff>
      <xdr:row>15</xdr:row>
      <xdr:rowOff>804185</xdr:rowOff>
    </xdr:to>
    <xdr:sp macro="" textlink="">
      <xdr:nvSpPr>
        <xdr:cNvPr id="7" name="テキスト ボックス 6" descr="住所&#10;郵便番号、都道府県、市&#10;&#10;電話&#10;FAX&#10;電子メール&#10;Web" title="アドレス帳">
          <a:extLst>
            <a:ext uri="{FF2B5EF4-FFF2-40B4-BE49-F238E27FC236}">
              <a16:creationId xmlns:a16="http://schemas.microsoft.com/office/drawing/2014/main" id="{00000000-0008-0000-0800-000007000000}"/>
            </a:ext>
          </a:extLst>
        </xdr:cNvPr>
        <xdr:cNvSpPr txBox="1"/>
      </xdr:nvSpPr>
      <xdr:spPr>
        <a:xfrm>
          <a:off x="8829675" y="5648325"/>
          <a:ext cx="1929349"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rgbClr val="A19574"/>
              </a:solidFill>
              <a:effectLst/>
              <a:uLnTx/>
              <a:uFillTx/>
              <a:latin typeface="Meiryo UI" panose="020B0604030504040204" pitchFamily="50" charset="-128"/>
              <a:ea typeface="Meiryo UI" panose="020B0604030504040204" pitchFamily="50" charset="-128"/>
              <a:cs typeface="Meiryo UI" panose="020B0604030504040204" pitchFamily="50" charset="-128"/>
            </a:rPr>
            <a:t>ベイサイド本牧スポーツアカデミー</a:t>
          </a:r>
          <a:endParaRPr kumimoji="0" lang="en-US" altLang="ja-JP" sz="1100" b="0" i="0" u="none" strike="noStrike" kern="0" cap="none" spc="0" normalizeH="0" baseline="0" noProof="0">
            <a:ln>
              <a:noFill/>
            </a:ln>
            <a:solidFill>
              <a:schemeClr val="dk1"/>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schemeClr val="dk1"/>
              </a:solidFill>
              <a:effectLst/>
              <a:uLnTx/>
              <a:uFillTx/>
              <a:latin typeface="+mn-lt"/>
              <a:ea typeface="+mn-ea"/>
              <a:cs typeface="+mn-cs"/>
            </a:rPr>
          </a:br>
          <a:r>
            <a:rPr kumimoji="0" lang="ja-JP" altLang="en-US" sz="1100" b="0" i="0" u="none" strike="noStrike" kern="0" cap="none" spc="0" normalizeH="0" baseline="0" noProof="0">
              <a:ln>
                <a:noFill/>
              </a:ln>
              <a:solidFill>
                <a:schemeClr val="dk1"/>
              </a:solidFill>
              <a:effectLst/>
              <a:uLnTx/>
              <a:uFillTx/>
              <a:latin typeface="+mn-lt"/>
              <a:ea typeface="+mn-ea"/>
              <a:cs typeface="+mn-cs"/>
            </a:rPr>
            <a:t>各クラスが最小遂行人数以下の場合、前クラスの活動を継続する場合もあります</a:t>
          </a:r>
          <a:endParaRPr kumimoji="0" lang="en-US" altLang="ja-JP" sz="1100" b="0" i="0" u="none" strike="noStrike" kern="0" cap="none" spc="0" normalizeH="0" baseline="0" noProof="0">
            <a:ln>
              <a:noFill/>
            </a:ln>
            <a:solidFill>
              <a:schemeClr val="dk1"/>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chemeClr val="dk1"/>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326570</xdr:colOff>
      <xdr:row>5</xdr:row>
      <xdr:rowOff>297026</xdr:rowOff>
    </xdr:from>
    <xdr:to>
      <xdr:col>9</xdr:col>
      <xdr:colOff>1020534</xdr:colOff>
      <xdr:row>9</xdr:row>
      <xdr:rowOff>344946</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rot="5400000">
          <a:off x="8847896" y="2294022"/>
          <a:ext cx="2116205" cy="1877785"/>
        </a:xfrm>
        <a:prstGeom prst="rect">
          <a:avLst/>
        </a:prstGeom>
      </xdr:spPr>
    </xdr:pic>
    <xdr:clientData/>
  </xdr:twoCellAnchor>
  <xdr:twoCellAnchor editAs="oneCell">
    <xdr:from>
      <xdr:col>8</xdr:col>
      <xdr:colOff>327251</xdr:colOff>
      <xdr:row>9</xdr:row>
      <xdr:rowOff>213640</xdr:rowOff>
    </xdr:from>
    <xdr:to>
      <xdr:col>9</xdr:col>
      <xdr:colOff>1030061</xdr:colOff>
      <xdr:row>11</xdr:row>
      <xdr:rowOff>550642</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a:srcRect l="7342" b="12884"/>
        <a:stretch/>
      </xdr:blipFill>
      <xdr:spPr>
        <a:xfrm rot="5400000">
          <a:off x="9225530" y="3901968"/>
          <a:ext cx="1366383" cy="1881869"/>
        </a:xfrm>
        <a:prstGeom prst="rect">
          <a:avLst/>
        </a:prstGeom>
      </xdr:spPr>
    </xdr:pic>
    <xdr:clientData/>
  </xdr:twoCellAnchor>
  <xdr:twoCellAnchor editAs="oneCell">
    <xdr:from>
      <xdr:col>8</xdr:col>
      <xdr:colOff>340177</xdr:colOff>
      <xdr:row>3</xdr:row>
      <xdr:rowOff>57149</xdr:rowOff>
    </xdr:from>
    <xdr:to>
      <xdr:col>9</xdr:col>
      <xdr:colOff>1010839</xdr:colOff>
      <xdr:row>5</xdr:row>
      <xdr:rowOff>694134</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3"/>
        <a:srcRect l="16978" t="8450" r="10093"/>
        <a:stretch/>
      </xdr:blipFill>
      <xdr:spPr>
        <a:xfrm>
          <a:off x="8980713" y="1404256"/>
          <a:ext cx="1854483" cy="11676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285750</xdr:colOff>
      <xdr:row>11</xdr:row>
      <xdr:rowOff>800100</xdr:rowOff>
    </xdr:from>
    <xdr:to>
      <xdr:col>9</xdr:col>
      <xdr:colOff>1033999</xdr:colOff>
      <xdr:row>16</xdr:row>
      <xdr:rowOff>42185</xdr:rowOff>
    </xdr:to>
    <xdr:sp macro="" textlink="">
      <xdr:nvSpPr>
        <xdr:cNvPr id="5" name="テキスト ボックス 4" descr="住所&#10;郵便番号、都道府県、市&#10;&#10;電話&#10;FAX&#10;電子メール&#10;Web" title="アドレス帳">
          <a:extLst>
            <a:ext uri="{FF2B5EF4-FFF2-40B4-BE49-F238E27FC236}">
              <a16:creationId xmlns:a16="http://schemas.microsoft.com/office/drawing/2014/main" id="{00000000-0008-0000-0900-000005000000}"/>
            </a:ext>
          </a:extLst>
        </xdr:cNvPr>
        <xdr:cNvSpPr txBox="1"/>
      </xdr:nvSpPr>
      <xdr:spPr>
        <a:xfrm>
          <a:off x="8820150" y="5705475"/>
          <a:ext cx="1929349"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ベイサイド本牧スポーツアカデミー</a:t>
          </a:r>
          <a:endParaRPr lang="ja-JP" altLang="ja-JP" sz="1000">
            <a:effectLst/>
          </a:endParaRPr>
        </a:p>
        <a:p>
          <a:pPr eaLnBrk="1" fontAlgn="auto" latinLnBrk="0" hangingPunct="1"/>
          <a:br>
            <a:rPr lang="en-US" altLang="ja-JP" sz="1100" b="0" i="0" baseline="0">
              <a:solidFill>
                <a:schemeClr val="dk1"/>
              </a:solidFill>
              <a:effectLst/>
              <a:latin typeface="+mn-lt"/>
              <a:ea typeface="+mn-ea"/>
              <a:cs typeface="+mn-cs"/>
            </a:rPr>
          </a:br>
          <a:r>
            <a:rPr lang="ja-JP" altLang="ja-JP" sz="1100" b="0" i="0" baseline="0">
              <a:solidFill>
                <a:schemeClr val="dk1"/>
              </a:solidFill>
              <a:effectLst/>
              <a:latin typeface="+mn-lt"/>
              <a:ea typeface="+mn-ea"/>
              <a:cs typeface="+mn-cs"/>
            </a:rPr>
            <a:t>各クラスが最小遂行人数以下の場合、前クラスの活動を継続する場合もあります</a:t>
          </a:r>
          <a:endParaRPr lang="ja-JP" altLang="ja-JP" sz="1000">
            <a:effectLst/>
          </a:endParaRPr>
        </a:p>
      </xdr:txBody>
    </xdr:sp>
    <xdr:clientData/>
  </xdr:twoCellAnchor>
  <xdr:twoCellAnchor editAs="oneCell">
    <xdr:from>
      <xdr:col>8</xdr:col>
      <xdr:colOff>278273</xdr:colOff>
      <xdr:row>8</xdr:row>
      <xdr:rowOff>142875</xdr:rowOff>
    </xdr:from>
    <xdr:to>
      <xdr:col>9</xdr:col>
      <xdr:colOff>1069181</xdr:colOff>
      <xdr:row>11</xdr:row>
      <xdr:rowOff>713315</xdr:rowOff>
    </xdr:to>
    <xdr:pic>
      <xdr:nvPicPr>
        <xdr:cNvPr id="7" name="図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stretch>
          <a:fillRect/>
        </a:stretch>
      </xdr:blipFill>
      <xdr:spPr>
        <a:xfrm>
          <a:off x="8874586" y="3845719"/>
          <a:ext cx="1969626" cy="1772971"/>
        </a:xfrm>
        <a:prstGeom prst="rect">
          <a:avLst/>
        </a:prstGeom>
      </xdr:spPr>
    </xdr:pic>
    <xdr:clientData/>
  </xdr:twoCellAnchor>
  <xdr:twoCellAnchor editAs="oneCell">
    <xdr:from>
      <xdr:col>8</xdr:col>
      <xdr:colOff>178586</xdr:colOff>
      <xdr:row>5</xdr:row>
      <xdr:rowOff>379329</xdr:rowOff>
    </xdr:from>
    <xdr:to>
      <xdr:col>9</xdr:col>
      <xdr:colOff>1057273</xdr:colOff>
      <xdr:row>7</xdr:row>
      <xdr:rowOff>421124</xdr:rowOff>
    </xdr:to>
    <xdr:pic>
      <xdr:nvPicPr>
        <xdr:cNvPr id="8" name="図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
        <a:stretch>
          <a:fillRect/>
        </a:stretch>
      </xdr:blipFill>
      <xdr:spPr>
        <a:xfrm rot="5400000">
          <a:off x="9276688" y="1746821"/>
          <a:ext cx="1049065" cy="20526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295275</xdr:colOff>
      <xdr:row>11</xdr:row>
      <xdr:rowOff>762000</xdr:rowOff>
    </xdr:from>
    <xdr:to>
      <xdr:col>9</xdr:col>
      <xdr:colOff>1043524</xdr:colOff>
      <xdr:row>16</xdr:row>
      <xdr:rowOff>4085</xdr:rowOff>
    </xdr:to>
    <xdr:sp macro="" textlink="">
      <xdr:nvSpPr>
        <xdr:cNvPr id="7" name="テキスト ボックス 6" descr="住所&#10;郵便番号、都道府県、市&#10;&#10;電話&#10;FAX&#10;電子メール&#10;Web" title="アドレス帳">
          <a:extLst>
            <a:ext uri="{FF2B5EF4-FFF2-40B4-BE49-F238E27FC236}">
              <a16:creationId xmlns:a16="http://schemas.microsoft.com/office/drawing/2014/main" id="{00000000-0008-0000-0A00-000007000000}"/>
            </a:ext>
          </a:extLst>
        </xdr:cNvPr>
        <xdr:cNvSpPr txBox="1"/>
      </xdr:nvSpPr>
      <xdr:spPr>
        <a:xfrm>
          <a:off x="8829675" y="5667375"/>
          <a:ext cx="1929349"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ベイサイド本牧スポーツアカデミー</a:t>
          </a:r>
          <a:endParaRPr lang="ja-JP" altLang="ja-JP" sz="1000">
            <a:effectLst/>
          </a:endParaRPr>
        </a:p>
        <a:p>
          <a:pPr eaLnBrk="1" fontAlgn="auto" latinLnBrk="0" hangingPunct="1"/>
          <a:br>
            <a:rPr lang="en-US" altLang="ja-JP" sz="1100" b="0" i="0" baseline="0">
              <a:solidFill>
                <a:schemeClr val="dk1"/>
              </a:solidFill>
              <a:effectLst/>
              <a:latin typeface="+mn-lt"/>
              <a:ea typeface="+mn-ea"/>
              <a:cs typeface="+mn-cs"/>
            </a:rPr>
          </a:br>
          <a:r>
            <a:rPr lang="ja-JP" altLang="ja-JP" sz="1100" b="0" i="0" baseline="0">
              <a:solidFill>
                <a:schemeClr val="dk1"/>
              </a:solidFill>
              <a:effectLst/>
              <a:latin typeface="+mn-lt"/>
              <a:ea typeface="+mn-ea"/>
              <a:cs typeface="+mn-cs"/>
            </a:rPr>
            <a:t>各クラスが最小遂行人数以下の場合、前クラスの活動を継続する場合もあります</a:t>
          </a:r>
          <a:endParaRPr lang="ja-JP" altLang="ja-JP" sz="1000">
            <a:effectLst/>
          </a:endParaRPr>
        </a:p>
      </xdr:txBody>
    </xdr:sp>
    <xdr:clientData/>
  </xdr:twoCellAnchor>
  <xdr:oneCellAnchor>
    <xdr:from>
      <xdr:col>1</xdr:col>
      <xdr:colOff>29765</xdr:colOff>
      <xdr:row>5</xdr:row>
      <xdr:rowOff>285749</xdr:rowOff>
    </xdr:from>
    <xdr:ext cx="4762500" cy="3821907"/>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291703" y="2155030"/>
          <a:ext cx="4762500" cy="3821907"/>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800">
              <a:solidFill>
                <a:srgbClr val="FF0000"/>
              </a:solidFill>
            </a:rPr>
            <a:t>お盆休み（夏季休暇）の為</a:t>
          </a:r>
          <a:endParaRPr kumimoji="1" lang="en-US" altLang="ja-JP" sz="2800">
            <a:solidFill>
              <a:srgbClr val="FF0000"/>
            </a:solidFill>
          </a:endParaRPr>
        </a:p>
        <a:p>
          <a:r>
            <a:rPr kumimoji="1" lang="ja-JP" altLang="en-US" sz="2800">
              <a:solidFill>
                <a:srgbClr val="FF0000"/>
              </a:solidFill>
            </a:rPr>
            <a:t>通常予定と変わってます</a:t>
          </a:r>
          <a:endParaRPr kumimoji="1" lang="en-US" altLang="ja-JP" sz="2800">
            <a:solidFill>
              <a:srgbClr val="FF0000"/>
            </a:solidFill>
          </a:endParaRPr>
        </a:p>
        <a:p>
          <a:endParaRPr kumimoji="1" lang="en-US" altLang="ja-JP" sz="2800">
            <a:solidFill>
              <a:srgbClr val="FF0000"/>
            </a:solidFill>
          </a:endParaRPr>
        </a:p>
        <a:p>
          <a:r>
            <a:rPr kumimoji="1" lang="ja-JP" altLang="en-US" sz="2000">
              <a:solidFill>
                <a:srgbClr val="FF0000"/>
              </a:solidFill>
            </a:rPr>
            <a:t>小中学生の合同クラス仲間募集中</a:t>
          </a:r>
          <a:endParaRPr kumimoji="1" lang="en-US" altLang="ja-JP" sz="2000">
            <a:solidFill>
              <a:srgbClr val="FF0000"/>
            </a:solidFill>
          </a:endParaRPr>
        </a:p>
        <a:p>
          <a:endParaRPr kumimoji="1" lang="en-US" altLang="ja-JP" sz="2000">
            <a:solidFill>
              <a:srgbClr val="FF0000"/>
            </a:solidFill>
          </a:endParaRPr>
        </a:p>
        <a:p>
          <a:r>
            <a:rPr kumimoji="1" lang="ja-JP" altLang="en-US" sz="2000" b="1">
              <a:solidFill>
                <a:sysClr val="windowText" lastClr="000000"/>
              </a:solidFill>
            </a:rPr>
            <a:t>活動状況は</a:t>
          </a:r>
          <a:r>
            <a:rPr kumimoji="1" lang="en-US" altLang="ja-JP" sz="2000" b="1">
              <a:solidFill>
                <a:sysClr val="windowText" lastClr="000000"/>
              </a:solidFill>
            </a:rPr>
            <a:t>TikTok</a:t>
          </a:r>
          <a:r>
            <a:rPr kumimoji="1" lang="ja-JP" altLang="en-US" sz="2000" b="1">
              <a:solidFill>
                <a:sysClr val="windowText" lastClr="000000"/>
              </a:solidFill>
            </a:rPr>
            <a:t>を今直ぐチェック！</a:t>
          </a:r>
          <a:endParaRPr kumimoji="1" lang="en-US" altLang="ja-JP" sz="2000" b="1">
            <a:solidFill>
              <a:sysClr val="windowText" lastClr="000000"/>
            </a:solidFill>
          </a:endParaRPr>
        </a:p>
        <a:p>
          <a:r>
            <a:rPr kumimoji="1" lang="ja-JP" altLang="en-US" sz="2000" b="1">
              <a:solidFill>
                <a:sysClr val="windowText" lastClr="000000"/>
              </a:solidFill>
            </a:rPr>
            <a:t>あなたの運動能力は彼らに勝てそう？</a:t>
          </a:r>
          <a:endParaRPr kumimoji="1" lang="en-US" altLang="ja-JP" sz="2000" b="1">
            <a:solidFill>
              <a:sysClr val="windowText" lastClr="000000"/>
            </a:solidFill>
          </a:endParaRPr>
        </a:p>
        <a:p>
          <a:endParaRPr kumimoji="1" lang="en-US" altLang="ja-JP" sz="2000" b="1">
            <a:solidFill>
              <a:sysClr val="windowText" lastClr="000000"/>
            </a:solidFill>
          </a:endParaRPr>
        </a:p>
        <a:p>
          <a:r>
            <a:rPr kumimoji="1" lang="ja-JP" altLang="en-US" sz="2000" b="1">
              <a:solidFill>
                <a:sysClr val="windowText" lastClr="000000"/>
              </a:solidFill>
            </a:rPr>
            <a:t>８月は夏休みも使ったプチ起業家体験会を実施予定！？</a:t>
          </a:r>
          <a:endParaRPr kumimoji="1" lang="en-US" altLang="ja-JP" sz="2000" b="1">
            <a:solidFill>
              <a:sysClr val="windowText" lastClr="000000"/>
            </a:solidFill>
          </a:endParaRPr>
        </a:p>
      </xdr:txBody>
    </xdr:sp>
    <xdr:clientData/>
  </xdr:oneCellAnchor>
  <xdr:twoCellAnchor editAs="oneCell">
    <xdr:from>
      <xdr:col>8</xdr:col>
      <xdr:colOff>266698</xdr:colOff>
      <xdr:row>2</xdr:row>
      <xdr:rowOff>726280</xdr:rowOff>
    </xdr:from>
    <xdr:to>
      <xdr:col>9</xdr:col>
      <xdr:colOff>1028699</xdr:colOff>
      <xdr:row>9</xdr:row>
      <xdr:rowOff>239425</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8672511" y="1285874"/>
          <a:ext cx="1935957" cy="1775332"/>
        </a:xfrm>
        <a:prstGeom prst="rect">
          <a:avLst/>
        </a:prstGeom>
      </xdr:spPr>
    </xdr:pic>
    <xdr:clientData/>
  </xdr:twoCellAnchor>
  <xdr:twoCellAnchor editAs="oneCell">
    <xdr:from>
      <xdr:col>8</xdr:col>
      <xdr:colOff>266699</xdr:colOff>
      <xdr:row>9</xdr:row>
      <xdr:rowOff>273844</xdr:rowOff>
    </xdr:from>
    <xdr:to>
      <xdr:col>9</xdr:col>
      <xdr:colOff>1033711</xdr:colOff>
      <xdr:row>11</xdr:row>
      <xdr:rowOff>690562</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672512" y="3095625"/>
          <a:ext cx="1945730" cy="1643062"/>
        </a:xfrm>
        <a:prstGeom prst="rect">
          <a:avLst/>
        </a:prstGeom>
      </xdr:spPr>
    </xdr:pic>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rek">
  <a:themeElements>
    <a:clrScheme name="Trek">
      <a:dk1>
        <a:sysClr val="windowText" lastClr="000000"/>
      </a:dk1>
      <a:lt1>
        <a:sysClr val="window" lastClr="FFFFFF"/>
      </a:lt1>
      <a:dk2>
        <a:srgbClr val="4E3B30"/>
      </a:dk2>
      <a:lt2>
        <a:srgbClr val="FBEEC9"/>
      </a:lt2>
      <a:accent1>
        <a:srgbClr val="F0A22E"/>
      </a:accent1>
      <a:accent2>
        <a:srgbClr val="A5644E"/>
      </a:accent2>
      <a:accent3>
        <a:srgbClr val="B58B80"/>
      </a:accent3>
      <a:accent4>
        <a:srgbClr val="C3986D"/>
      </a:accent4>
      <a:accent5>
        <a:srgbClr val="A19574"/>
      </a:accent5>
      <a:accent6>
        <a:srgbClr val="C17529"/>
      </a:accent6>
      <a:hlink>
        <a:srgbClr val="AD1F1F"/>
      </a:hlink>
      <a:folHlink>
        <a:srgbClr val="FFC42F"/>
      </a:folHlink>
    </a:clrScheme>
    <a:fontScheme name="Custom 1">
      <a:majorFont>
        <a:latin typeface="Georgia"/>
        <a:ea typeface=""/>
        <a:cs typeface=""/>
      </a:majorFont>
      <a:minorFont>
        <a:latin typeface="Cambria"/>
        <a:ea typeface=""/>
        <a:cs typeface=""/>
      </a:minorFont>
    </a:fontScheme>
    <a:fmtScheme name="Trek">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104D-82DB-47B5-9875-D5A6546FC15E}">
  <dimension ref="A2:M24"/>
  <sheetViews>
    <sheetView showGridLines="0" zoomScale="94" zoomScaleNormal="115" workbookViewId="0">
      <selection activeCell="M13" sqref="M13"/>
    </sheetView>
  </sheetViews>
  <sheetFormatPr defaultRowHeight="17.649999999999999"/>
  <cols>
    <col min="1" max="1" width="2.5" style="60" customWidth="1"/>
    <col min="2" max="2" width="2.71875" style="61" bestFit="1" customWidth="1"/>
    <col min="3" max="3" width="16.0546875" style="60" customWidth="1"/>
    <col min="4" max="4" width="14.27734375" style="60" customWidth="1"/>
    <col min="5" max="5" width="11.71875" style="60" bestFit="1" customWidth="1"/>
    <col min="6" max="6" width="8.71875" style="60" bestFit="1" customWidth="1"/>
    <col min="7" max="7" width="14.21875" style="60" bestFit="1" customWidth="1"/>
    <col min="8" max="8" width="11.71875" style="60" bestFit="1" customWidth="1"/>
    <col min="9" max="9" width="8.71875" style="60" customWidth="1"/>
    <col min="10" max="10" width="1.5546875" style="60" customWidth="1"/>
    <col min="11" max="13" width="8.88671875" style="60"/>
    <col min="14" max="16384" width="8.88671875" style="59"/>
  </cols>
  <sheetData>
    <row r="2" spans="1:13">
      <c r="C2" s="60" t="s">
        <v>83</v>
      </c>
    </row>
    <row r="3" spans="1:13" ht="6.75" customHeight="1" thickBot="1"/>
    <row r="4" spans="1:13" ht="18" thickTop="1">
      <c r="B4" s="70"/>
      <c r="C4" s="71"/>
      <c r="D4" s="93" t="s">
        <v>79</v>
      </c>
      <c r="E4" s="93"/>
      <c r="F4" s="93"/>
      <c r="G4" s="93" t="s">
        <v>78</v>
      </c>
      <c r="H4" s="93"/>
      <c r="I4" s="94"/>
      <c r="J4" s="67"/>
    </row>
    <row r="5" spans="1:13" ht="25.5">
      <c r="B5" s="72"/>
      <c r="C5" s="64" t="s">
        <v>77</v>
      </c>
      <c r="D5" s="63" t="s">
        <v>76</v>
      </c>
      <c r="E5" s="64" t="s">
        <v>75</v>
      </c>
      <c r="F5" s="64" t="s">
        <v>74</v>
      </c>
      <c r="G5" s="63" t="s">
        <v>76</v>
      </c>
      <c r="H5" s="64" t="s">
        <v>75</v>
      </c>
      <c r="I5" s="73" t="s">
        <v>74</v>
      </c>
      <c r="J5" s="61"/>
    </row>
    <row r="6" spans="1:13" s="65" customFormat="1">
      <c r="A6" s="61"/>
      <c r="B6" s="72">
        <v>1</v>
      </c>
      <c r="C6" s="63" t="s">
        <v>73</v>
      </c>
      <c r="D6" s="95" t="s">
        <v>103</v>
      </c>
      <c r="E6" s="97" t="s">
        <v>95</v>
      </c>
      <c r="F6" s="98"/>
      <c r="G6" s="95" t="s">
        <v>103</v>
      </c>
      <c r="H6" s="64" t="s">
        <v>72</v>
      </c>
      <c r="I6" s="73"/>
      <c r="J6" s="61"/>
      <c r="K6" s="61"/>
      <c r="L6" s="61"/>
      <c r="M6" s="61"/>
    </row>
    <row r="7" spans="1:13" s="65" customFormat="1" ht="25.5">
      <c r="A7" s="61"/>
      <c r="B7" s="72">
        <v>2</v>
      </c>
      <c r="C7" s="63" t="s">
        <v>71</v>
      </c>
      <c r="D7" s="96"/>
      <c r="E7" s="99"/>
      <c r="F7" s="100"/>
      <c r="G7" s="96"/>
      <c r="H7" s="64" t="s">
        <v>80</v>
      </c>
      <c r="I7" s="74" t="s">
        <v>96</v>
      </c>
      <c r="J7" s="66"/>
      <c r="K7" s="61"/>
      <c r="L7" s="61"/>
      <c r="M7" s="61"/>
    </row>
    <row r="8" spans="1:13" s="65" customFormat="1" ht="17.649999999999999" customHeight="1">
      <c r="A8" s="61"/>
      <c r="B8" s="72">
        <v>3</v>
      </c>
      <c r="C8" s="63" t="s">
        <v>97</v>
      </c>
      <c r="D8" s="96"/>
      <c r="E8" s="101" t="s">
        <v>102</v>
      </c>
      <c r="F8" s="102"/>
      <c r="G8" s="96"/>
      <c r="H8" s="101" t="s">
        <v>102</v>
      </c>
      <c r="I8" s="107"/>
      <c r="J8" s="61"/>
      <c r="K8" s="61"/>
      <c r="L8" s="61"/>
      <c r="M8" s="61"/>
    </row>
    <row r="9" spans="1:13" s="65" customFormat="1">
      <c r="A9" s="61"/>
      <c r="B9" s="72">
        <v>3</v>
      </c>
      <c r="C9" s="63" t="s">
        <v>98</v>
      </c>
      <c r="D9" s="96"/>
      <c r="E9" s="103"/>
      <c r="F9" s="104"/>
      <c r="G9" s="96"/>
      <c r="H9" s="103"/>
      <c r="I9" s="108"/>
      <c r="J9" s="61"/>
      <c r="K9" s="61"/>
      <c r="L9" s="61"/>
      <c r="M9" s="61"/>
    </row>
    <row r="10" spans="1:13" s="65" customFormat="1">
      <c r="A10" s="61"/>
      <c r="B10" s="72">
        <v>3</v>
      </c>
      <c r="C10" s="63" t="s">
        <v>99</v>
      </c>
      <c r="D10" s="96"/>
      <c r="E10" s="103"/>
      <c r="F10" s="104"/>
      <c r="G10" s="96"/>
      <c r="H10" s="103"/>
      <c r="I10" s="108"/>
      <c r="J10" s="61"/>
      <c r="K10" s="61"/>
      <c r="L10" s="61"/>
      <c r="M10" s="61"/>
    </row>
    <row r="11" spans="1:13" s="65" customFormat="1">
      <c r="A11" s="61"/>
      <c r="B11" s="72">
        <v>4</v>
      </c>
      <c r="C11" s="63" t="s">
        <v>100</v>
      </c>
      <c r="D11" s="96"/>
      <c r="E11" s="103"/>
      <c r="F11" s="104"/>
      <c r="G11" s="96"/>
      <c r="H11" s="103"/>
      <c r="I11" s="108"/>
      <c r="J11" s="61"/>
      <c r="K11" s="61"/>
      <c r="L11" s="61"/>
      <c r="M11" s="61"/>
    </row>
    <row r="12" spans="1:13">
      <c r="B12" s="81">
        <v>5</v>
      </c>
      <c r="C12" s="68" t="s">
        <v>101</v>
      </c>
      <c r="D12" s="69"/>
      <c r="E12" s="105"/>
      <c r="F12" s="106"/>
      <c r="G12" s="68"/>
      <c r="H12" s="105"/>
      <c r="I12" s="109"/>
    </row>
    <row r="13" spans="1:13" ht="38.65" thickBot="1">
      <c r="B13" s="75">
        <v>6</v>
      </c>
      <c r="C13" s="76" t="s">
        <v>70</v>
      </c>
      <c r="D13" s="76" t="s">
        <v>69</v>
      </c>
      <c r="E13" s="82" t="s">
        <v>81</v>
      </c>
      <c r="F13" s="83"/>
      <c r="G13" s="76" t="s">
        <v>69</v>
      </c>
      <c r="H13" s="82" t="s">
        <v>81</v>
      </c>
      <c r="I13" s="84"/>
    </row>
    <row r="14" spans="1:13" ht="4.1500000000000004" customHeight="1" thickTop="1"/>
    <row r="15" spans="1:13">
      <c r="B15" s="62" t="s">
        <v>68</v>
      </c>
    </row>
    <row r="16" spans="1:13">
      <c r="B16" s="61" t="s">
        <v>64</v>
      </c>
      <c r="C16" s="60" t="s">
        <v>67</v>
      </c>
    </row>
    <row r="17" spans="2:3">
      <c r="B17" s="61" t="s">
        <v>64</v>
      </c>
      <c r="C17" s="60" t="s">
        <v>104</v>
      </c>
    </row>
    <row r="18" spans="2:3">
      <c r="B18" s="61" t="s">
        <v>64</v>
      </c>
      <c r="C18" s="60" t="s">
        <v>66</v>
      </c>
    </row>
    <row r="19" spans="2:3">
      <c r="B19" s="61" t="s">
        <v>64</v>
      </c>
      <c r="C19" s="60" t="s">
        <v>65</v>
      </c>
    </row>
    <row r="20" spans="2:3">
      <c r="B20" s="61" t="s">
        <v>64</v>
      </c>
      <c r="C20" s="60" t="s">
        <v>108</v>
      </c>
    </row>
    <row r="21" spans="2:3">
      <c r="C21" s="60" t="s">
        <v>82</v>
      </c>
    </row>
    <row r="22" spans="2:3">
      <c r="C22" s="60" t="s">
        <v>105</v>
      </c>
    </row>
    <row r="23" spans="2:3">
      <c r="C23" s="60" t="s">
        <v>106</v>
      </c>
    </row>
    <row r="24" spans="2:3">
      <c r="C24" s="60" t="s">
        <v>107</v>
      </c>
    </row>
  </sheetData>
  <mergeCells count="7">
    <mergeCell ref="G4:I4"/>
    <mergeCell ref="D4:F4"/>
    <mergeCell ref="G6:G11"/>
    <mergeCell ref="D6:D11"/>
    <mergeCell ref="E6:F7"/>
    <mergeCell ref="E8:F12"/>
    <mergeCell ref="H8:I12"/>
  </mergeCells>
  <phoneticPr fontId="6"/>
  <pageMargins left="0.70866141732283472" right="0.70866141732283472" top="0.39370078740157483" bottom="0" header="0" footer="0"/>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34998626667073579"/>
    <pageSetUpPr fitToPage="1"/>
  </sheetPr>
  <dimension ref="A1:R20"/>
  <sheetViews>
    <sheetView showGridLines="0" zoomScale="80" zoomScaleNormal="80" workbookViewId="0">
      <selection activeCell="V5" sqref="V5"/>
    </sheetView>
  </sheetViews>
  <sheetFormatPr defaultColWidth="6.6640625" defaultRowHeight="15"/>
  <cols>
    <col min="1" max="1" width="3.0546875" style="1" customWidth="1"/>
    <col min="2" max="6" width="11.0546875" style="1" customWidth="1"/>
    <col min="7" max="8" width="20.777343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10</v>
      </c>
      <c r="C2" s="24" t="s">
        <v>113</v>
      </c>
      <c r="D2" s="24"/>
      <c r="E2" s="24"/>
      <c r="F2" s="24"/>
      <c r="G2" s="24"/>
      <c r="H2" s="24"/>
      <c r="I2" s="24"/>
      <c r="J2" s="24"/>
    </row>
    <row r="3" spans="1:18" ht="62.25" customHeight="1">
      <c r="A3" s="3"/>
      <c r="B3" s="121" t="str">
        <f>UPPER(TEXT(DATE(カレンダーの年,7,1),"yyyy年m月"))</f>
        <v>2023年7月</v>
      </c>
      <c r="C3" s="121"/>
      <c r="D3" s="121"/>
      <c r="E3" s="121"/>
      <c r="F3" s="121"/>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IF(DAY(JulSun1)=1,"",IF(AND(YEAR(JulSun1+1)=カレンダーの年,MONTH(JulSun1+1)=7),JulSun1+1,""))</f>
        <v/>
      </c>
      <c r="C5" s="10" t="str">
        <f>IF(DAY(JulSun1)=1,"",IF(AND(YEAR(JulSun1+2)=カレンダーの年,MONTH(JulSun1+2)=7),JulSun1+2,""))</f>
        <v/>
      </c>
      <c r="D5" s="10" t="str">
        <f>IF(DAY(JulSun1)=1,"",IF(AND(YEAR(JulSun1+3)=カレンダーの年,MONTH(JulSun1+3)=7),JulSun1+3,""))</f>
        <v/>
      </c>
      <c r="E5" s="10" t="str">
        <f>IF(DAY(JulSun1)=1,"",IF(AND(YEAR(JulSun1+4)=カレンダーの年,MONTH(JulSun1+4)=7),JulSun1+4,""))</f>
        <v/>
      </c>
      <c r="F5" s="10" t="str">
        <f>IF(DAY(JulSun1)=1,"",IF(AND(YEAR(JulSun1+5)=カレンダーの年,MONTH(JulSun1+5)=7),JulSun1+5,""))</f>
        <v/>
      </c>
      <c r="G5" s="10">
        <f>IF(DAY(JulSun1)=1,"",IF(AND(YEAR(JulSun1+6)=カレンダーの年,MONTH(JulSun1+6)=7),JulSun1+6,""))</f>
        <v>45108</v>
      </c>
      <c r="H5" s="10">
        <f>IF(DAY(JulSun1)=1,IF(AND(YEAR(JulSun1)=カレンダーの年,MONTH(JulSun1)=7),JulSun1,""),IF(AND(YEAR(JulSun1+7)=カレンダーの年,MONTH(JulSun1+7)=7),JulSun1+7,""))</f>
        <v>45109</v>
      </c>
      <c r="I5" s="11"/>
      <c r="K5" s="1"/>
      <c r="L5" s="1"/>
      <c r="M5" s="1"/>
      <c r="Q5" s="12"/>
      <c r="R5" s="1"/>
    </row>
    <row r="6" spans="1:18" s="12" customFormat="1" ht="64.5" customHeight="1">
      <c r="A6" s="3"/>
      <c r="B6" s="13"/>
      <c r="C6" s="13"/>
      <c r="D6" s="13"/>
      <c r="E6" s="13"/>
      <c r="F6" s="13"/>
      <c r="G6" s="25"/>
      <c r="H6" s="25" t="s">
        <v>84</v>
      </c>
      <c r="I6" s="11"/>
    </row>
    <row r="7" spans="1:18" ht="15" customHeight="1">
      <c r="A7" s="3"/>
      <c r="B7" s="15">
        <f>IF(DAY(JulSun1)=1,IF(AND(YEAR(JulSun1+1)=カレンダーの年,MONTH(JulSun1+1)=7),JulSun1+1,""),IF(AND(YEAR(JulSun1+8)=カレンダーの年,MONTH(JulSun1+8)=7),JulSun1+8,""))</f>
        <v>45110</v>
      </c>
      <c r="C7" s="15">
        <f>IF(DAY(JulSun1)=1,IF(AND(YEAR(JulSun1+2)=カレンダーの年,MONTH(JulSun1+2)=7),JulSun1+2,""),IF(AND(YEAR(JulSun1+9)=カレンダーの年,MONTH(JulSun1+9)=7),JulSun1+9,""))</f>
        <v>45111</v>
      </c>
      <c r="D7" s="15">
        <f>IF(DAY(JulSun1)=1,IF(AND(YEAR(JulSun1+3)=カレンダーの年,MONTH(JulSun1+3)=7),JulSun1+3,""),IF(AND(YEAR(JulSun1+10)=カレンダーの年,MONTH(JulSun1+10)=7),JulSun1+10,""))</f>
        <v>45112</v>
      </c>
      <c r="E7" s="15">
        <f>IF(DAY(JulSun1)=1,IF(AND(YEAR(JulSun1+4)=カレンダーの年,MONTH(JulSun1+4)=7),JulSun1+4,""),IF(AND(YEAR(JulSun1+11)=カレンダーの年,MONTH(JulSun1+11)=7),JulSun1+11,""))</f>
        <v>45113</v>
      </c>
      <c r="F7" s="15">
        <f>IF(DAY(JulSun1)=1,IF(AND(YEAR(JulSun1+5)=カレンダーの年,MONTH(JulSun1+5)=7),JulSun1+5,""),IF(AND(YEAR(JulSun1+12)=カレンダーの年,MONTH(JulSun1+12)=7),JulSun1+12,""))</f>
        <v>45114</v>
      </c>
      <c r="G7" s="15">
        <f>IF(DAY(JulSun1)=1,IF(AND(YEAR(JulSun1+6)=カレンダーの年,MONTH(JulSun1+6)=7),JulSun1+6,""),IF(AND(YEAR(JulSun1+13)=カレンダーの年,MONTH(JulSun1+13)=7),JulSun1+13,""))</f>
        <v>45115</v>
      </c>
      <c r="H7" s="15">
        <f>IF(DAY(JulSun1)=1,IF(AND(YEAR(JulSun1+7)=カレンダーの年,MONTH(JulSun1+7)=7),JulSun1+7,""),IF(AND(YEAR(JulSun1+14)=カレンダーの年,MONTH(JulSun1+14)=7),JulSun1+14,""))</f>
        <v>45116</v>
      </c>
      <c r="I7" s="11"/>
    </row>
    <row r="8" spans="1:18" ht="64.5" customHeight="1">
      <c r="A8" s="3"/>
      <c r="B8" s="16"/>
      <c r="C8" s="16"/>
      <c r="D8" s="16"/>
      <c r="E8" s="16"/>
      <c r="F8" s="16"/>
      <c r="G8" s="48"/>
      <c r="H8" s="48" t="s">
        <v>84</v>
      </c>
      <c r="I8" s="11"/>
    </row>
    <row r="9" spans="1:18" ht="15" customHeight="1">
      <c r="A9" s="3"/>
      <c r="B9" s="18">
        <f>IF(DAY(JulSun1)=1,IF(AND(YEAR(JulSun1+8)=カレンダーの年,MONTH(JulSun1+8)=7),JulSun1+8,""),IF(AND(YEAR(JulSun1+15)=カレンダーの年,MONTH(JulSun1+15)=7),JulSun1+15,""))</f>
        <v>45117</v>
      </c>
      <c r="C9" s="18">
        <f>IF(DAY(JulSun1)=1,IF(AND(YEAR(JulSun1+9)=カレンダーの年,MONTH(JulSun1+9)=7),JulSun1+9,""),IF(AND(YEAR(JulSun1+16)=カレンダーの年,MONTH(JulSun1+16)=7),JulSun1+16,""))</f>
        <v>45118</v>
      </c>
      <c r="D9" s="18">
        <f>IF(DAY(JulSun1)=1,IF(AND(YEAR(JulSun1+10)=カレンダーの年,MONTH(JulSun1+10)=7),JulSun1+10,""),IF(AND(YEAR(JulSun1+17)=カレンダーの年,MONTH(JulSun1+17)=7),JulSun1+17,""))</f>
        <v>45119</v>
      </c>
      <c r="E9" s="18">
        <f>IF(DAY(JulSun1)=1,IF(AND(YEAR(JulSun1+11)=カレンダーの年,MONTH(JulSun1+11)=7),JulSun1+11,""),IF(AND(YEAR(JulSun1+18)=カレンダーの年,MONTH(JulSun1+18)=7),JulSun1+18,""))</f>
        <v>45120</v>
      </c>
      <c r="F9" s="18">
        <f>IF(DAY(JulSun1)=1,IF(AND(YEAR(JulSun1+12)=カレンダーの年,MONTH(JulSun1+12)=7),JulSun1+12,""),IF(AND(YEAR(JulSun1+19)=カレンダーの年,MONTH(JulSun1+19)=7),JulSun1+19,""))</f>
        <v>45121</v>
      </c>
      <c r="G9" s="18">
        <f>IF(DAY(JulSun1)=1,IF(AND(YEAR(JulSun1+13)=カレンダーの年,MONTH(JulSun1+13)=7),JulSun1+13,""),IF(AND(YEAR(JulSun1+20)=カレンダーの年,MONTH(JulSun1+20)=7),JulSun1+20,""))</f>
        <v>45122</v>
      </c>
      <c r="H9" s="18">
        <f>IF(DAY(JulSun1)=1,IF(AND(YEAR(JulSun1+14)=カレンダーの年,MONTH(JulSun1+14)=7),JulSun1+14,""),IF(AND(YEAR(JulSun1+21)=カレンダーの年,MONTH(JulSun1+21)=7),JulSun1+21,""))</f>
        <v>45123</v>
      </c>
      <c r="I9" s="11"/>
    </row>
    <row r="10" spans="1:18" ht="64.5" customHeight="1">
      <c r="A10" s="3"/>
      <c r="B10" s="13"/>
      <c r="C10" s="13"/>
      <c r="D10" s="13"/>
      <c r="E10" s="13"/>
      <c r="F10" s="13"/>
      <c r="G10" s="25"/>
      <c r="H10" s="25" t="s">
        <v>84</v>
      </c>
      <c r="I10" s="11"/>
    </row>
    <row r="11" spans="1:18" ht="15" customHeight="1">
      <c r="A11" s="3"/>
      <c r="B11" s="19">
        <f>IF(DAY(JulSun1)=1,IF(AND(YEAR(JulSun1+15)=カレンダーの年,MONTH(JulSun1+15)=7),JulSun1+15,""),IF(AND(YEAR(JulSun1+22)=カレンダーの年,MONTH(JulSun1+22)=7),JulSun1+22,""))</f>
        <v>45124</v>
      </c>
      <c r="C11" s="19">
        <f>IF(DAY(JulSun1)=1,IF(AND(YEAR(JulSun1+16)=カレンダーの年,MONTH(JulSun1+16)=7),JulSun1+16,""),IF(AND(YEAR(JulSun1+23)=カレンダーの年,MONTH(JulSun1+23)=7),JulSun1+23,""))</f>
        <v>45125</v>
      </c>
      <c r="D11" s="19">
        <f>IF(DAY(JulSun1)=1,IF(AND(YEAR(JulSun1+17)=カレンダーの年,MONTH(JulSun1+17)=7),JulSun1+17,""),IF(AND(YEAR(JulSun1+24)=カレンダーの年,MONTH(JulSun1+24)=7),JulSun1+24,""))</f>
        <v>45126</v>
      </c>
      <c r="E11" s="19">
        <f>IF(DAY(JulSun1)=1,IF(AND(YEAR(JulSun1+18)=カレンダーの年,MONTH(JulSun1+18)=7),JulSun1+18,""),IF(AND(YEAR(JulSun1+25)=カレンダーの年,MONTH(JulSun1+25)=7),JulSun1+25,""))</f>
        <v>45127</v>
      </c>
      <c r="F11" s="19">
        <f>IF(DAY(JulSun1)=1,IF(AND(YEAR(JulSun1+19)=カレンダーの年,MONTH(JulSun1+19)=7),JulSun1+19,""),IF(AND(YEAR(JulSun1+26)=カレンダーの年,MONTH(JulSun1+26)=7),JulSun1+26,""))</f>
        <v>45128</v>
      </c>
      <c r="G11" s="19">
        <f>IF(DAY(JulSun1)=1,IF(AND(YEAR(JulSun1+20)=カレンダーの年,MONTH(JulSun1+20)=7),JulSun1+20,""),IF(AND(YEAR(JulSun1+27)=カレンダーの年,MONTH(JulSun1+27)=7),JulSun1+27,""))</f>
        <v>45129</v>
      </c>
      <c r="H11" s="19">
        <f>IF(DAY(JulSun1)=1,IF(AND(YEAR(JulSun1+21)=カレンダーの年,MONTH(JulSun1+21)=7),JulSun1+21,""),IF(AND(YEAR(JulSun1+28)=カレンダーの年,MONTH(JulSun1+28)=7),JulSun1+28,""))</f>
        <v>45130</v>
      </c>
      <c r="I11" s="11"/>
    </row>
    <row r="12" spans="1:18" ht="64.5" customHeight="1">
      <c r="A12" s="3"/>
      <c r="B12" s="77"/>
      <c r="C12" s="16"/>
      <c r="D12" s="16"/>
      <c r="E12" s="16"/>
      <c r="F12" s="16"/>
      <c r="G12" s="47"/>
      <c r="H12" s="48" t="s">
        <v>84</v>
      </c>
      <c r="I12" s="11"/>
    </row>
    <row r="13" spans="1:18" ht="15" customHeight="1">
      <c r="A13" s="3"/>
      <c r="B13" s="18">
        <f>IF(DAY(JulSun1)=1,IF(AND(YEAR(JulSun1+22)=カレンダーの年,MONTH(JulSun1+22)=7),JulSun1+22,""),IF(AND(YEAR(JulSun1+29)=カレンダーの年,MONTH(JulSun1+29)=7),JulSun1+29,""))</f>
        <v>45131</v>
      </c>
      <c r="C13" s="18">
        <f>IF(DAY(JulSun1)=1,IF(AND(YEAR(JulSun1+23)=カレンダーの年,MONTH(JulSun1+23)=7),JulSun1+23,""),IF(AND(YEAR(JulSun1+30)=カレンダーの年,MONTH(JulSun1+30)=7),JulSun1+30,""))</f>
        <v>45132</v>
      </c>
      <c r="D13" s="18">
        <f>IF(DAY(JulSun1)=1,IF(AND(YEAR(JulSun1+24)=カレンダーの年,MONTH(JulSun1+24)=7),JulSun1+24,""),IF(AND(YEAR(JulSun1+31)=カレンダーの年,MONTH(JulSun1+31)=7),JulSun1+31,""))</f>
        <v>45133</v>
      </c>
      <c r="E13" s="18">
        <f>IF(DAY(JulSun1)=1,IF(AND(YEAR(JulSun1+25)=カレンダーの年,MONTH(JulSun1+25)=7),JulSun1+25,""),IF(AND(YEAR(JulSun1+32)=カレンダーの年,MONTH(JulSun1+32)=7),JulSun1+32,""))</f>
        <v>45134</v>
      </c>
      <c r="F13" s="18">
        <f>IF(DAY(JulSun1)=1,IF(AND(YEAR(JulSun1+26)=カレンダーの年,MONTH(JulSun1+26)=7),JulSun1+26,""),IF(AND(YEAR(JulSun1+33)=カレンダーの年,MONTH(JulSun1+33)=7),JulSun1+33,""))</f>
        <v>45135</v>
      </c>
      <c r="G13" s="18">
        <f>IF(DAY(JulSun1)=1,IF(AND(YEAR(JulSun1+27)=カレンダーの年,MONTH(JulSun1+27)=7),JulSun1+27,""),IF(AND(YEAR(JulSun1+34)=カレンダーの年,MONTH(JulSun1+34)=7),JulSun1+34,""))</f>
        <v>45136</v>
      </c>
      <c r="H13" s="18">
        <f>IF(DAY(JulSun1)=1,IF(AND(YEAR(JulSun1+28)=カレンダーの年,MONTH(JulSun1+28)=7),JulSun1+28,""),IF(AND(YEAR(JulSun1+35)=カレンダーの年,MONTH(JulSun1+35)=7),JulSun1+35,""))</f>
        <v>45137</v>
      </c>
      <c r="I13" s="11"/>
    </row>
    <row r="14" spans="1:18" ht="64.5" customHeight="1">
      <c r="A14" s="3"/>
      <c r="B14" s="13"/>
      <c r="C14" s="13"/>
      <c r="D14" s="13"/>
      <c r="E14" s="13"/>
      <c r="F14" s="13"/>
      <c r="G14" s="25"/>
      <c r="H14" s="86" t="s">
        <v>112</v>
      </c>
      <c r="I14" s="11"/>
    </row>
    <row r="15" spans="1:18" ht="15" customHeight="1">
      <c r="A15" s="3"/>
      <c r="B15" s="19">
        <f>IF(DAY(JulSun1)=1,IF(AND(YEAR(JulSun1+29)=カレンダーの年,MONTH(JulSun1+29)=7),JulSun1+29,""),IF(AND(YEAR(JulSun1+36)=カレンダーの年,MONTH(JulSun1+36)=7),JulSun1+36,""))</f>
        <v>45138</v>
      </c>
      <c r="C15" s="20" t="str">
        <f>IF(DAY(JulSun1)=1,IF(AND(YEAR(JulSun1+30)=カレンダーの年,MONTH(JulSun1+30)=7),JulSun1+30,""),IF(AND(YEAR(JulSun1+37)=カレンダーの年,MONTH(JulSun1+37)=7),JulSun1+37,""))</f>
        <v/>
      </c>
      <c r="D15" s="118" t="s">
        <v>8</v>
      </c>
      <c r="E15" s="119"/>
      <c r="F15" s="119"/>
      <c r="G15" s="119"/>
      <c r="H15" s="120"/>
      <c r="I15" s="11"/>
    </row>
    <row r="16" spans="1:18" ht="64.5" customHeight="1">
      <c r="A16" s="3"/>
      <c r="B16" s="16"/>
      <c r="C16" s="16"/>
      <c r="D16" s="115" t="s">
        <v>51</v>
      </c>
      <c r="E16" s="116"/>
      <c r="F16" s="116"/>
      <c r="G16" s="116"/>
      <c r="H16" s="117"/>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249977111117893"/>
    <pageSetUpPr fitToPage="1"/>
  </sheetPr>
  <dimension ref="A1:R20"/>
  <sheetViews>
    <sheetView showGridLines="0" zoomScale="80" zoomScaleNormal="80" workbookViewId="0">
      <selection activeCell="H12" sqref="H12"/>
    </sheetView>
  </sheetViews>
  <sheetFormatPr defaultColWidth="6.6640625" defaultRowHeight="15"/>
  <cols>
    <col min="1" max="1" width="3.0546875" style="1" customWidth="1"/>
    <col min="2" max="6" width="11.6640625" style="1" customWidth="1"/>
    <col min="7" max="8" width="18.277343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10</v>
      </c>
      <c r="C2" s="24" t="s">
        <v>53</v>
      </c>
      <c r="D2" s="24"/>
      <c r="E2" s="4"/>
      <c r="F2" s="4"/>
      <c r="G2" s="4"/>
      <c r="H2" s="4"/>
      <c r="I2" s="4"/>
      <c r="J2" s="4"/>
    </row>
    <row r="3" spans="1:18" ht="62.25" customHeight="1">
      <c r="A3" s="3"/>
      <c r="B3" s="121" t="str">
        <f>UPPER(TEXT(DATE(カレンダーの年,8,1),"yyyy年m月"))</f>
        <v>2023年8月</v>
      </c>
      <c r="C3" s="121"/>
      <c r="D3" s="121"/>
      <c r="E3" s="121"/>
      <c r="F3" s="121"/>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IF(DAY(AugSun1)=1,"",IF(AND(YEAR(AugSun1+1)=カレンダーの年,MONTH(AugSun1+1)=8),AugSun1+1,""))</f>
        <v/>
      </c>
      <c r="C5" s="10">
        <f>IF(DAY(AugSun1)=1,"",IF(AND(YEAR(AugSun1+2)=カレンダーの年,MONTH(AugSun1+2)=8),AugSun1+2,""))</f>
        <v>45139</v>
      </c>
      <c r="D5" s="10">
        <f>IF(DAY(AugSun1)=1,"",IF(AND(YEAR(AugSun1+3)=カレンダーの年,MONTH(AugSun1+3)=8),AugSun1+3,""))</f>
        <v>45140</v>
      </c>
      <c r="E5" s="10">
        <f>IF(DAY(AugSun1)=1,"",IF(AND(YEAR(AugSun1+4)=カレンダーの年,MONTH(AugSun1+4)=8),AugSun1+4,""))</f>
        <v>45141</v>
      </c>
      <c r="F5" s="10">
        <f>IF(DAY(AugSun1)=1,"",IF(AND(YEAR(AugSun1+5)=カレンダーの年,MONTH(AugSun1+5)=8),AugSun1+5,""))</f>
        <v>45142</v>
      </c>
      <c r="G5" s="10">
        <f>IF(DAY(AugSun1)=1,"",IF(AND(YEAR(AugSun1+6)=カレンダーの年,MONTH(AugSun1+6)=8),AugSun1+6,""))</f>
        <v>45143</v>
      </c>
      <c r="H5" s="10">
        <f>IF(DAY(AugSun1)=1,IF(AND(YEAR(AugSun1)=カレンダーの年,MONTH(AugSun1)=8),AugSun1,""),IF(AND(YEAR(AugSun1+7)=カレンダーの年,MONTH(AugSun1+7)=8),AugSun1+7,""))</f>
        <v>45144</v>
      </c>
      <c r="I5" s="11"/>
      <c r="K5" s="1"/>
      <c r="L5" s="1"/>
      <c r="M5" s="1"/>
      <c r="Q5" s="12"/>
      <c r="R5" s="1"/>
    </row>
    <row r="6" spans="1:18" s="12" customFormat="1" ht="22.15">
      <c r="A6" s="3"/>
      <c r="B6" s="13"/>
      <c r="C6" s="13"/>
      <c r="D6" s="13"/>
      <c r="E6" s="13"/>
      <c r="F6" s="13"/>
      <c r="G6" s="49"/>
      <c r="H6" s="88" t="s">
        <v>114</v>
      </c>
      <c r="I6" s="11"/>
    </row>
    <row r="7" spans="1:18" ht="15" customHeight="1">
      <c r="A7" s="3"/>
      <c r="B7" s="15">
        <f>IF(DAY(AugSun1)=1,IF(AND(YEAR(AugSun1+1)=カレンダーの年,MONTH(AugSun1+1)=8),AugSun1+1,""),IF(AND(YEAR(AugSun1+8)=カレンダーの年,MONTH(AugSun1+8)=8),AugSun1+8,""))</f>
        <v>45145</v>
      </c>
      <c r="C7" s="15">
        <f>IF(DAY(AugSun1)=1,IF(AND(YEAR(AugSun1+2)=カレンダーの年,MONTH(AugSun1+2)=8),AugSun1+2,""),IF(AND(YEAR(AugSun1+9)=カレンダーの年,MONTH(AugSun1+9)=8),AugSun1+9,""))</f>
        <v>45146</v>
      </c>
      <c r="D7" s="15">
        <f>IF(DAY(AugSun1)=1,IF(AND(YEAR(AugSun1+3)=カレンダーの年,MONTH(AugSun1+3)=8),AugSun1+3,""),IF(AND(YEAR(AugSun1+10)=カレンダーの年,MONTH(AugSun1+10)=8),AugSun1+10,""))</f>
        <v>45147</v>
      </c>
      <c r="E7" s="15">
        <f>IF(DAY(AugSun1)=1,IF(AND(YEAR(AugSun1+4)=カレンダーの年,MONTH(AugSun1+4)=8),AugSun1+4,""),IF(AND(YEAR(AugSun1+11)=カレンダーの年,MONTH(AugSun1+11)=8),AugSun1+11,""))</f>
        <v>45148</v>
      </c>
      <c r="F7" s="15">
        <f>IF(DAY(AugSun1)=1,IF(AND(YEAR(AugSun1+5)=カレンダーの年,MONTH(AugSun1+5)=8),AugSun1+5,""),IF(AND(YEAR(AugSun1+12)=カレンダーの年,MONTH(AugSun1+12)=8),AugSun1+12,""))</f>
        <v>45149</v>
      </c>
      <c r="G7" s="15">
        <f>IF(DAY(AugSun1)=1,IF(AND(YEAR(AugSun1+6)=カレンダーの年,MONTH(AugSun1+6)=8),AugSun1+6,""),IF(AND(YEAR(AugSun1+13)=カレンダーの年,MONTH(AugSun1+13)=8),AugSun1+13,""))</f>
        <v>45150</v>
      </c>
      <c r="H7" s="15">
        <f>IF(DAY(AugSun1)=1,IF(AND(YEAR(AugSun1+7)=カレンダーの年,MONTH(AugSun1+7)=8),AugSun1+7,""),IF(AND(YEAR(AugSun1+14)=カレンダーの年,MONTH(AugSun1+14)=8),AugSun1+14,""))</f>
        <v>45151</v>
      </c>
      <c r="I7" s="11"/>
    </row>
    <row r="8" spans="1:18" ht="22.15">
      <c r="A8" s="3"/>
      <c r="B8" s="16"/>
      <c r="C8" s="16"/>
      <c r="D8" s="16"/>
      <c r="E8" s="16"/>
      <c r="F8" s="16"/>
      <c r="G8" s="17"/>
      <c r="H8" s="87" t="s">
        <v>114</v>
      </c>
      <c r="I8" s="11"/>
    </row>
    <row r="9" spans="1:18" ht="15" customHeight="1">
      <c r="A9" s="3"/>
      <c r="B9" s="18">
        <f>IF(DAY(AugSun1)=1,IF(AND(YEAR(AugSun1+8)=カレンダーの年,MONTH(AugSun1+8)=8),AugSun1+8,""),IF(AND(YEAR(AugSun1+15)=カレンダーの年,MONTH(AugSun1+15)=8),AugSun1+15,""))</f>
        <v>45152</v>
      </c>
      <c r="C9" s="18">
        <f>IF(DAY(AugSun1)=1,IF(AND(YEAR(AugSun1+9)=カレンダーの年,MONTH(AugSun1+9)=8),AugSun1+9,""),IF(AND(YEAR(AugSun1+16)=カレンダーの年,MONTH(AugSun1+16)=8),AugSun1+16,""))</f>
        <v>45153</v>
      </c>
      <c r="D9" s="18">
        <f>IF(DAY(AugSun1)=1,IF(AND(YEAR(AugSun1+10)=カレンダーの年,MONTH(AugSun1+10)=8),AugSun1+10,""),IF(AND(YEAR(AugSun1+17)=カレンダーの年,MONTH(AugSun1+17)=8),AugSun1+17,""))</f>
        <v>45154</v>
      </c>
      <c r="E9" s="18">
        <f>IF(DAY(AugSun1)=1,IF(AND(YEAR(AugSun1+11)=カレンダーの年,MONTH(AugSun1+11)=8),AugSun1+11,""),IF(AND(YEAR(AugSun1+18)=カレンダーの年,MONTH(AugSun1+18)=8),AugSun1+18,""))</f>
        <v>45155</v>
      </c>
      <c r="F9" s="18">
        <f>IF(DAY(AugSun1)=1,IF(AND(YEAR(AugSun1+12)=カレンダーの年,MONTH(AugSun1+12)=8),AugSun1+12,""),IF(AND(YEAR(AugSun1+19)=カレンダーの年,MONTH(AugSun1+19)=8),AugSun1+19,""))</f>
        <v>45156</v>
      </c>
      <c r="G9" s="18">
        <f>IF(DAY(AugSun1)=1,IF(AND(YEAR(AugSun1+13)=カレンダーの年,MONTH(AugSun1+13)=8),AugSun1+13,""),IF(AND(YEAR(AugSun1+20)=カレンダーの年,MONTH(AugSun1+20)=8),AugSun1+20,""))</f>
        <v>45157</v>
      </c>
      <c r="H9" s="18">
        <f>IF(DAY(AugSun1)=1,IF(AND(YEAR(AugSun1+14)=カレンダーの年,MONTH(AugSun1+14)=8),AugSun1+14,""),IF(AND(YEAR(AugSun1+21)=カレンダーの年,MONTH(AugSun1+21)=8),AugSun1+21,""))</f>
        <v>45158</v>
      </c>
      <c r="I9" s="11"/>
    </row>
    <row r="10" spans="1:18" ht="81.75">
      <c r="A10" s="3"/>
      <c r="B10" s="13"/>
      <c r="C10" s="13"/>
      <c r="D10" s="13"/>
      <c r="E10" s="13"/>
      <c r="F10" s="13"/>
      <c r="G10" s="49"/>
      <c r="H10" s="49" t="s">
        <v>84</v>
      </c>
      <c r="I10" s="11"/>
      <c r="L10"/>
    </row>
    <row r="11" spans="1:18" ht="15" customHeight="1">
      <c r="A11" s="3"/>
      <c r="B11" s="19">
        <f>IF(DAY(AugSun1)=1,IF(AND(YEAR(AugSun1+15)=カレンダーの年,MONTH(AugSun1+15)=8),AugSun1+15,""),IF(AND(YEAR(AugSun1+22)=カレンダーの年,MONTH(AugSun1+22)=8),AugSun1+22,""))</f>
        <v>45159</v>
      </c>
      <c r="C11" s="19">
        <f>IF(DAY(AugSun1)=1,IF(AND(YEAR(AugSun1+16)=カレンダーの年,MONTH(AugSun1+16)=8),AugSun1+16,""),IF(AND(YEAR(AugSun1+23)=カレンダーの年,MONTH(AugSun1+23)=8),AugSun1+23,""))</f>
        <v>45160</v>
      </c>
      <c r="D11" s="19">
        <f>IF(DAY(AugSun1)=1,IF(AND(YEAR(AugSun1+17)=カレンダーの年,MONTH(AugSun1+17)=8),AugSun1+17,""),IF(AND(YEAR(AugSun1+24)=カレンダーの年,MONTH(AugSun1+24)=8),AugSun1+24,""))</f>
        <v>45161</v>
      </c>
      <c r="E11" s="19">
        <f>IF(DAY(AugSun1)=1,IF(AND(YEAR(AugSun1+18)=カレンダーの年,MONTH(AugSun1+18)=8),AugSun1+18,""),IF(AND(YEAR(AugSun1+25)=カレンダーの年,MONTH(AugSun1+25)=8),AugSun1+25,""))</f>
        <v>45162</v>
      </c>
      <c r="F11" s="19">
        <f>IF(DAY(AugSun1)=1,IF(AND(YEAR(AugSun1+19)=カレンダーの年,MONTH(AugSun1+19)=8),AugSun1+19,""),IF(AND(YEAR(AugSun1+26)=カレンダーの年,MONTH(AugSun1+26)=8),AugSun1+26,""))</f>
        <v>45163</v>
      </c>
      <c r="G11" s="19">
        <f>IF(DAY(AugSun1)=1,IF(AND(YEAR(AugSun1+20)=カレンダーの年,MONTH(AugSun1+20)=8),AugSun1+20,""),IF(AND(YEAR(AugSun1+27)=カレンダーの年,MONTH(AugSun1+27)=8),AugSun1+27,""))</f>
        <v>45164</v>
      </c>
      <c r="H11" s="19">
        <f>IF(DAY(AugSun1)=1,IF(AND(YEAR(AugSun1+21)=カレンダーの年,MONTH(AugSun1+21)=8),AugSun1+21,""),IF(AND(YEAR(AugSun1+28)=カレンダーの年,MONTH(AugSun1+28)=8),AugSun1+28,""))</f>
        <v>45165</v>
      </c>
      <c r="I11" s="11"/>
    </row>
    <row r="12" spans="1:18" ht="81.75">
      <c r="A12" s="3"/>
      <c r="B12" s="16"/>
      <c r="C12" s="16"/>
      <c r="D12" s="16"/>
      <c r="E12" s="16"/>
      <c r="F12" s="16"/>
      <c r="G12" s="48"/>
      <c r="H12" s="48" t="s">
        <v>84</v>
      </c>
      <c r="I12" s="11"/>
    </row>
    <row r="13" spans="1:18" ht="15" customHeight="1">
      <c r="A13" s="3"/>
      <c r="B13" s="18">
        <f>IF(DAY(AugSun1)=1,IF(AND(YEAR(AugSun1+22)=カレンダーの年,MONTH(AugSun1+22)=8),AugSun1+22,""),IF(AND(YEAR(AugSun1+29)=カレンダーの年,MONTH(AugSun1+29)=8),AugSun1+29,""))</f>
        <v>45166</v>
      </c>
      <c r="C13" s="18">
        <f>IF(DAY(AugSun1)=1,IF(AND(YEAR(AugSun1+23)=カレンダーの年,MONTH(AugSun1+23)=8),AugSun1+23,""),IF(AND(YEAR(AugSun1+30)=カレンダーの年,MONTH(AugSun1+30)=8),AugSun1+30,""))</f>
        <v>45167</v>
      </c>
      <c r="D13" s="18">
        <f>IF(DAY(AugSun1)=1,IF(AND(YEAR(AugSun1+24)=カレンダーの年,MONTH(AugSun1+24)=8),AugSun1+24,""),IF(AND(YEAR(AugSun1+31)=カレンダーの年,MONTH(AugSun1+31)=8),AugSun1+31,""))</f>
        <v>45168</v>
      </c>
      <c r="E13" s="18">
        <f>IF(DAY(AugSun1)=1,IF(AND(YEAR(AugSun1+25)=カレンダーの年,MONTH(AugSun1+25)=8),AugSun1+25,""),IF(AND(YEAR(AugSun1+32)=カレンダーの年,MONTH(AugSun1+32)=8),AugSun1+32,""))</f>
        <v>45169</v>
      </c>
      <c r="F13" s="18" t="str">
        <f>IF(DAY(AugSun1)=1,IF(AND(YEAR(AugSun1+26)=カレンダーの年,MONTH(AugSun1+26)=8),AugSun1+26,""),IF(AND(YEAR(AugSun1+33)=カレンダーの年,MONTH(AugSun1+33)=8),AugSun1+33,""))</f>
        <v/>
      </c>
      <c r="G13" s="18" t="str">
        <f>IF(DAY(AugSun1)=1,IF(AND(YEAR(AugSun1+27)=カレンダーの年,MONTH(AugSun1+27)=8),AugSun1+27,""),IF(AND(YEAR(AugSun1+34)=カレンダーの年,MONTH(AugSun1+34)=8),AugSun1+34,""))</f>
        <v/>
      </c>
      <c r="H13" s="18" t="str">
        <f>IF(DAY(AugSun1)=1,IF(AND(YEAR(AugSun1+28)=カレンダーの年,MONTH(AugSun1+28)=8),AugSun1+28,""),IF(AND(YEAR(AugSun1+35)=カレンダーの年,MONTH(AugSun1+35)=8),AugSun1+35,""))</f>
        <v/>
      </c>
      <c r="I13" s="11"/>
    </row>
    <row r="14" spans="1:18" ht="64.5" customHeight="1">
      <c r="A14" s="3"/>
      <c r="B14" s="13"/>
      <c r="C14" s="13"/>
      <c r="D14" s="13"/>
      <c r="E14" s="13"/>
      <c r="F14" s="13"/>
      <c r="G14" s="14"/>
      <c r="H14" s="14"/>
      <c r="I14" s="11"/>
    </row>
    <row r="15" spans="1:18" ht="15" customHeight="1">
      <c r="A15" s="3"/>
      <c r="B15" s="19" t="str">
        <f>IF(DAY(AugSun1)=1,IF(AND(YEAR(AugSun1+29)=カレンダーの年,MONTH(AugSun1+29)=8),AugSun1+29,""),IF(AND(YEAR(AugSun1+36)=カレンダーの年,MONTH(AugSun1+36)=8),AugSun1+36,""))</f>
        <v/>
      </c>
      <c r="C15" s="20" t="str">
        <f>IF(DAY(AugSun1)=1,IF(AND(YEAR(AugSun1+30)=カレンダーの年,MONTH(AugSun1+30)=8),AugSun1+30,""),IF(AND(YEAR(AugSun1+37)=カレンダーの年,MONTH(AugSun1+37)=8),AugSun1+37,""))</f>
        <v/>
      </c>
      <c r="D15" s="118" t="s">
        <v>8</v>
      </c>
      <c r="E15" s="119"/>
      <c r="F15" s="119"/>
      <c r="G15" s="119"/>
      <c r="H15" s="120"/>
      <c r="I15" s="11"/>
    </row>
    <row r="16" spans="1:18" ht="64.5" customHeight="1">
      <c r="A16" s="3"/>
      <c r="B16" s="16"/>
      <c r="C16" s="16"/>
      <c r="D16" s="115" t="s">
        <v>54</v>
      </c>
      <c r="E16" s="116"/>
      <c r="F16" s="116"/>
      <c r="G16" s="116"/>
      <c r="H16" s="117"/>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pageSetUpPr fitToPage="1"/>
  </sheetPr>
  <dimension ref="A1:R20"/>
  <sheetViews>
    <sheetView showGridLines="0" zoomScale="70" zoomScaleNormal="70" workbookViewId="0">
      <selection activeCell="H12" sqref="H12"/>
    </sheetView>
  </sheetViews>
  <sheetFormatPr defaultColWidth="6.6640625" defaultRowHeight="15"/>
  <cols>
    <col min="1" max="1" width="3.0546875" style="1" customWidth="1"/>
    <col min="2" max="6" width="11.6640625" style="1" customWidth="1"/>
    <col min="7" max="7" width="21.1640625" style="1" bestFit="1" customWidth="1"/>
    <col min="8" max="8" width="19.38671875" style="1" bestFit="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55</v>
      </c>
      <c r="C2" s="24" t="s">
        <v>58</v>
      </c>
      <c r="D2" s="4"/>
      <c r="E2" s="4"/>
      <c r="F2" s="4"/>
      <c r="G2" s="4"/>
      <c r="H2" s="4"/>
      <c r="I2" s="4"/>
      <c r="J2" s="4"/>
    </row>
    <row r="3" spans="1:18" ht="62.25" customHeight="1">
      <c r="A3" s="3"/>
      <c r="B3" s="121" t="str">
        <f>UPPER(TEXT(DATE(カレンダーの年,9,1),"yyyy年m月"))</f>
        <v>2023年9月</v>
      </c>
      <c r="C3" s="121"/>
      <c r="D3" s="121"/>
      <c r="E3" s="121"/>
      <c r="F3" s="121"/>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IF(DAY(SepSun1)=1,"",IF(AND(YEAR(SepSun1+1)=カレンダーの年,MONTH(SepSun1+1)=9),SepSun1+1,""))</f>
        <v/>
      </c>
      <c r="C5" s="10" t="str">
        <f>IF(DAY(SepSun1)=1,"",IF(AND(YEAR(SepSun1+2)=カレンダーの年,MONTH(SepSun1+2)=9),SepSun1+2,""))</f>
        <v/>
      </c>
      <c r="D5" s="10" t="str">
        <f>IF(DAY(SepSun1)=1,"",IF(AND(YEAR(SepSun1+3)=カレンダーの年,MONTH(SepSun1+3)=9),SepSun1+3,""))</f>
        <v/>
      </c>
      <c r="E5" s="10" t="str">
        <f>IF(DAY(SepSun1)=1,"",IF(AND(YEAR(SepSun1+4)=カレンダーの年,MONTH(SepSun1+4)=9),SepSun1+4,""))</f>
        <v/>
      </c>
      <c r="F5" s="10">
        <f>IF(DAY(SepSun1)=1,"",IF(AND(YEAR(SepSun1+5)=カレンダーの年,MONTH(SepSun1+5)=9),SepSun1+5,""))</f>
        <v>45170</v>
      </c>
      <c r="G5" s="10">
        <f>IF(DAY(SepSun1)=1,"",IF(AND(YEAR(SepSun1+6)=カレンダーの年,MONTH(SepSun1+6)=9),SepSun1+6,""))</f>
        <v>45171</v>
      </c>
      <c r="H5" s="10">
        <f>IF(DAY(SepSun1)=1,IF(AND(YEAR(SepSun1)=カレンダーの年,MONTH(SepSun1)=9),SepSun1,""),IF(AND(YEAR(SepSun1+7)=カレンダーの年,MONTH(SepSun1+7)=9),SepSun1+7,""))</f>
        <v>45172</v>
      </c>
      <c r="I5" s="11"/>
      <c r="K5" s="1"/>
      <c r="L5" s="1"/>
      <c r="M5" s="1"/>
      <c r="Q5" s="12"/>
      <c r="R5" s="1"/>
    </row>
    <row r="6" spans="1:18" s="12" customFormat="1" ht="74.75" customHeight="1">
      <c r="A6" s="3"/>
      <c r="B6" s="13"/>
      <c r="C6" s="13"/>
      <c r="D6" s="13"/>
      <c r="E6" s="13"/>
      <c r="F6" s="13"/>
      <c r="G6" s="49"/>
      <c r="H6" s="49" t="s">
        <v>84</v>
      </c>
      <c r="I6" s="11"/>
    </row>
    <row r="7" spans="1:18" ht="15" customHeight="1">
      <c r="A7" s="3"/>
      <c r="B7" s="15">
        <f>IF(DAY(SepSun1)=1,IF(AND(YEAR(SepSun1+1)=カレンダーの年,MONTH(SepSun1+1)=9),SepSun1+1,""),IF(AND(YEAR(SepSun1+8)=カレンダーの年,MONTH(SepSun1+8)=9),SepSun1+8,""))</f>
        <v>45173</v>
      </c>
      <c r="C7" s="15">
        <f>IF(DAY(SepSun1)=1,IF(AND(YEAR(SepSun1+2)=カレンダーの年,MONTH(SepSun1+2)=9),SepSun1+2,""),IF(AND(YEAR(SepSun1+9)=カレンダーの年,MONTH(SepSun1+9)=9),SepSun1+9,""))</f>
        <v>45174</v>
      </c>
      <c r="D7" s="15">
        <f>IF(DAY(SepSun1)=1,IF(AND(YEAR(SepSun1+3)=カレンダーの年,MONTH(SepSun1+3)=9),SepSun1+3,""),IF(AND(YEAR(SepSun1+10)=カレンダーの年,MONTH(SepSun1+10)=9),SepSun1+10,""))</f>
        <v>45175</v>
      </c>
      <c r="E7" s="15">
        <f>IF(DAY(SepSun1)=1,IF(AND(YEAR(SepSun1+4)=カレンダーの年,MONTH(SepSun1+4)=9),SepSun1+4,""),IF(AND(YEAR(SepSun1+11)=カレンダーの年,MONTH(SepSun1+11)=9),SepSun1+11,""))</f>
        <v>45176</v>
      </c>
      <c r="F7" s="15">
        <f>IF(DAY(SepSun1)=1,IF(AND(YEAR(SepSun1+5)=カレンダーの年,MONTH(SepSun1+5)=9),SepSun1+5,""),IF(AND(YEAR(SepSun1+12)=カレンダーの年,MONTH(SepSun1+12)=9),SepSun1+12,""))</f>
        <v>45177</v>
      </c>
      <c r="G7" s="15">
        <f>IF(DAY(SepSun1)=1,IF(AND(YEAR(SepSun1+6)=カレンダーの年,MONTH(SepSun1+6)=9),SepSun1+6,""),IF(AND(YEAR(SepSun1+13)=カレンダーの年,MONTH(SepSun1+13)=9),SepSun1+13,""))</f>
        <v>45178</v>
      </c>
      <c r="H7" s="15">
        <f>IF(DAY(SepSun1)=1,IF(AND(YEAR(SepSun1+7)=カレンダーの年,MONTH(SepSun1+7)=9),SepSun1+7,""),IF(AND(YEAR(SepSun1+14)=カレンダーの年,MONTH(SepSun1+14)=9),SepSun1+14,""))</f>
        <v>45179</v>
      </c>
      <c r="I7" s="11"/>
    </row>
    <row r="8" spans="1:18" ht="73.5" customHeight="1">
      <c r="A8" s="3"/>
      <c r="B8" s="16"/>
      <c r="C8" s="16"/>
      <c r="D8" s="16"/>
      <c r="E8" s="16"/>
      <c r="F8" s="16"/>
      <c r="G8" s="47"/>
      <c r="H8" s="17" t="s">
        <v>84</v>
      </c>
      <c r="I8" s="11"/>
    </row>
    <row r="9" spans="1:18" ht="15" customHeight="1">
      <c r="A9" s="3"/>
      <c r="B9" s="18">
        <f>IF(DAY(SepSun1)=1,IF(AND(YEAR(SepSun1+8)=カレンダーの年,MONTH(SepSun1+8)=9),SepSun1+8,""),IF(AND(YEAR(SepSun1+15)=カレンダーの年,MONTH(SepSun1+15)=9),SepSun1+15,""))</f>
        <v>45180</v>
      </c>
      <c r="C9" s="18">
        <f>IF(DAY(SepSun1)=1,IF(AND(YEAR(SepSun1+9)=カレンダーの年,MONTH(SepSun1+9)=9),SepSun1+9,""),IF(AND(YEAR(SepSun1+16)=カレンダーの年,MONTH(SepSun1+16)=9),SepSun1+16,""))</f>
        <v>45181</v>
      </c>
      <c r="D9" s="18">
        <f>IF(DAY(SepSun1)=1,IF(AND(YEAR(SepSun1+10)=カレンダーの年,MONTH(SepSun1+10)=9),SepSun1+10,""),IF(AND(YEAR(SepSun1+17)=カレンダーの年,MONTH(SepSun1+17)=9),SepSun1+17,""))</f>
        <v>45182</v>
      </c>
      <c r="E9" s="18">
        <f>IF(DAY(SepSun1)=1,IF(AND(YEAR(SepSun1+11)=カレンダーの年,MONTH(SepSun1+11)=9),SepSun1+11,""),IF(AND(YEAR(SepSun1+18)=カレンダーの年,MONTH(SepSun1+18)=9),SepSun1+18,""))</f>
        <v>45183</v>
      </c>
      <c r="F9" s="18">
        <f>IF(DAY(SepSun1)=1,IF(AND(YEAR(SepSun1+12)=カレンダーの年,MONTH(SepSun1+12)=9),SepSun1+12,""),IF(AND(YEAR(SepSun1+19)=カレンダーの年,MONTH(SepSun1+19)=9),SepSun1+19,""))</f>
        <v>45184</v>
      </c>
      <c r="G9" s="18">
        <f>IF(DAY(SepSun1)=1,IF(AND(YEAR(SepSun1+13)=カレンダーの年,MONTH(SepSun1+13)=9),SepSun1+13,""),IF(AND(YEAR(SepSun1+20)=カレンダーの年,MONTH(SepSun1+20)=9),SepSun1+20,""))</f>
        <v>45185</v>
      </c>
      <c r="H9" s="18">
        <f>IF(DAY(SepSun1)=1,IF(AND(YEAR(SepSun1+14)=カレンダーの年,MONTH(SepSun1+14)=9),SepSun1+14,""),IF(AND(YEAR(SepSun1+21)=カレンダーの年,MONTH(SepSun1+21)=9),SepSun1+21,""))</f>
        <v>45186</v>
      </c>
      <c r="I9" s="11"/>
    </row>
    <row r="10" spans="1:18" ht="66.75">
      <c r="A10" s="3"/>
      <c r="B10" s="13"/>
      <c r="C10" s="13"/>
      <c r="D10" s="13"/>
      <c r="E10" s="13"/>
      <c r="F10" s="13"/>
      <c r="G10" s="50"/>
      <c r="H10" s="49" t="s">
        <v>84</v>
      </c>
      <c r="I10" s="11"/>
    </row>
    <row r="11" spans="1:18" ht="15" customHeight="1">
      <c r="A11" s="3"/>
      <c r="B11" s="19">
        <f>IF(DAY(SepSun1)=1,IF(AND(YEAR(SepSun1+15)=カレンダーの年,MONTH(SepSun1+15)=9),SepSun1+15,""),IF(AND(YEAR(SepSun1+22)=カレンダーの年,MONTH(SepSun1+22)=9),SepSun1+22,""))</f>
        <v>45187</v>
      </c>
      <c r="C11" s="19">
        <f>IF(DAY(SepSun1)=1,IF(AND(YEAR(SepSun1+16)=カレンダーの年,MONTH(SepSun1+16)=9),SepSun1+16,""),IF(AND(YEAR(SepSun1+23)=カレンダーの年,MONTH(SepSun1+23)=9),SepSun1+23,""))</f>
        <v>45188</v>
      </c>
      <c r="D11" s="19">
        <f>IF(DAY(SepSun1)=1,IF(AND(YEAR(SepSun1+17)=カレンダーの年,MONTH(SepSun1+17)=9),SepSun1+17,""),IF(AND(YEAR(SepSun1+24)=カレンダーの年,MONTH(SepSun1+24)=9),SepSun1+24,""))</f>
        <v>45189</v>
      </c>
      <c r="E11" s="19">
        <f>IF(DAY(SepSun1)=1,IF(AND(YEAR(SepSun1+18)=カレンダーの年,MONTH(SepSun1+18)=9),SepSun1+18,""),IF(AND(YEAR(SepSun1+25)=カレンダーの年,MONTH(SepSun1+25)=9),SepSun1+25,""))</f>
        <v>45190</v>
      </c>
      <c r="F11" s="19">
        <f>IF(DAY(SepSun1)=1,IF(AND(YEAR(SepSun1+19)=カレンダーの年,MONTH(SepSun1+19)=9),SepSun1+19,""),IF(AND(YEAR(SepSun1+26)=カレンダーの年,MONTH(SepSun1+26)=9),SepSun1+26,""))</f>
        <v>45191</v>
      </c>
      <c r="G11" s="19">
        <f>IF(DAY(SepSun1)=1,IF(AND(YEAR(SepSun1+20)=カレンダーの年,MONTH(SepSun1+20)=9),SepSun1+20,""),IF(AND(YEAR(SepSun1+27)=カレンダーの年,MONTH(SepSun1+27)=9),SepSun1+27,""))</f>
        <v>45192</v>
      </c>
      <c r="H11" s="19">
        <f>IF(DAY(SepSun1)=1,IF(AND(YEAR(SepSun1+21)=カレンダーの年,MONTH(SepSun1+21)=9),SepSun1+21,""),IF(AND(YEAR(SepSun1+28)=カレンダーの年,MONTH(SepSun1+28)=9),SepSun1+28,""))</f>
        <v>45193</v>
      </c>
      <c r="I11" s="11"/>
    </row>
    <row r="12" spans="1:18" ht="66.75">
      <c r="A12" s="3"/>
      <c r="B12" s="16"/>
      <c r="C12" s="16"/>
      <c r="D12" s="16"/>
      <c r="E12" s="16"/>
      <c r="F12" s="16"/>
      <c r="G12" s="17"/>
      <c r="H12" s="17" t="s">
        <v>84</v>
      </c>
      <c r="I12" s="11"/>
    </row>
    <row r="13" spans="1:18" ht="15" customHeight="1">
      <c r="A13" s="3"/>
      <c r="B13" s="18">
        <f>IF(DAY(SepSun1)=1,IF(AND(YEAR(SepSun1+22)=カレンダーの年,MONTH(SepSun1+22)=9),SepSun1+22,""),IF(AND(YEAR(SepSun1+29)=カレンダーの年,MONTH(SepSun1+29)=9),SepSun1+29,""))</f>
        <v>45194</v>
      </c>
      <c r="C13" s="18">
        <f>IF(DAY(SepSun1)=1,IF(AND(YEAR(SepSun1+23)=カレンダーの年,MONTH(SepSun1+23)=9),SepSun1+23,""),IF(AND(YEAR(SepSun1+30)=カレンダーの年,MONTH(SepSun1+30)=9),SepSun1+30,""))</f>
        <v>45195</v>
      </c>
      <c r="D13" s="18">
        <f>IF(DAY(SepSun1)=1,IF(AND(YEAR(SepSun1+24)=カレンダーの年,MONTH(SepSun1+24)=9),SepSun1+24,""),IF(AND(YEAR(SepSun1+31)=カレンダーの年,MONTH(SepSun1+31)=9),SepSun1+31,""))</f>
        <v>45196</v>
      </c>
      <c r="E13" s="18">
        <f>IF(DAY(SepSun1)=1,IF(AND(YEAR(SepSun1+25)=カレンダーの年,MONTH(SepSun1+25)=9),SepSun1+25,""),IF(AND(YEAR(SepSun1+32)=カレンダーの年,MONTH(SepSun1+32)=9),SepSun1+32,""))</f>
        <v>45197</v>
      </c>
      <c r="F13" s="18">
        <f>IF(DAY(SepSun1)=1,IF(AND(YEAR(SepSun1+26)=カレンダーの年,MONTH(SepSun1+26)=9),SepSun1+26,""),IF(AND(YEAR(SepSun1+33)=カレンダーの年,MONTH(SepSun1+33)=9),SepSun1+33,""))</f>
        <v>45198</v>
      </c>
      <c r="G13" s="18">
        <f>IF(DAY(SepSun1)=1,IF(AND(YEAR(SepSun1+27)=カレンダーの年,MONTH(SepSun1+27)=9),SepSun1+27,""),IF(AND(YEAR(SepSun1+34)=カレンダーの年,MONTH(SepSun1+34)=9),SepSun1+34,""))</f>
        <v>45199</v>
      </c>
      <c r="H13" s="18" t="str">
        <f>IF(DAY(SepSun1)=1,IF(AND(YEAR(SepSun1+28)=カレンダーの年,MONTH(SepSun1+28)=9),SepSun1+28,""),IF(AND(YEAR(SepSun1+35)=カレンダーの年,MONTH(SepSun1+35)=9),SepSun1+35,""))</f>
        <v/>
      </c>
      <c r="I13" s="11"/>
    </row>
    <row r="14" spans="1:18" ht="16.5">
      <c r="A14" s="3"/>
      <c r="B14" s="13"/>
      <c r="C14" s="13"/>
      <c r="D14" s="13"/>
      <c r="E14" s="13"/>
      <c r="F14" s="13"/>
      <c r="G14" s="14"/>
      <c r="H14" s="14"/>
      <c r="I14" s="11"/>
    </row>
    <row r="15" spans="1:18" ht="15" customHeight="1">
      <c r="A15" s="3"/>
      <c r="B15" s="19" t="str">
        <f>IF(DAY(SepSun1)=1,IF(AND(YEAR(SepSun1+29)=カレンダーの年,MONTH(SepSun1+29)=9),SepSun1+29,""),IF(AND(YEAR(SepSun1+36)=カレンダーの年,MONTH(SepSun1+36)=9),SepSun1+36,""))</f>
        <v/>
      </c>
      <c r="C15" s="20" t="str">
        <f>IF(DAY(SepSun1)=1,IF(AND(YEAR(SepSun1+30)=カレンダーの年,MONTH(SepSun1+30)=9),SepSun1+30,""),IF(AND(YEAR(SepSun1+37)=カレンダーの年,MONTH(SepSun1+37)=9),SepSun1+37,""))</f>
        <v/>
      </c>
      <c r="D15" s="118" t="s">
        <v>8</v>
      </c>
      <c r="E15" s="119"/>
      <c r="F15" s="119"/>
      <c r="G15" s="119"/>
      <c r="H15" s="120"/>
      <c r="I15" s="11"/>
    </row>
    <row r="16" spans="1:18" ht="64.5" customHeight="1">
      <c r="A16" s="3"/>
      <c r="B16" s="16"/>
      <c r="C16" s="16"/>
      <c r="D16" s="115" t="s">
        <v>56</v>
      </c>
      <c r="E16" s="116"/>
      <c r="F16" s="116"/>
      <c r="G16" s="116"/>
      <c r="H16" s="117"/>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R20"/>
  <sheetViews>
    <sheetView showGridLines="0" zoomScale="70" zoomScaleNormal="70" workbookViewId="0">
      <selection activeCell="H6" sqref="H6"/>
    </sheetView>
  </sheetViews>
  <sheetFormatPr defaultColWidth="6.6640625" defaultRowHeight="15"/>
  <cols>
    <col min="1" max="1" width="3.0546875" style="1" customWidth="1"/>
    <col min="2" max="2" width="14.27734375" style="1" customWidth="1"/>
    <col min="3" max="6" width="11.0546875" style="1" customWidth="1"/>
    <col min="7" max="8" width="20.664062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55</v>
      </c>
      <c r="C2" s="24" t="s">
        <v>59</v>
      </c>
      <c r="D2" s="4"/>
      <c r="E2" s="4"/>
      <c r="F2" s="4"/>
      <c r="G2" s="4"/>
      <c r="H2" s="4"/>
      <c r="I2" s="4"/>
      <c r="J2" s="4"/>
    </row>
    <row r="3" spans="1:18" ht="62.25" customHeight="1">
      <c r="A3" s="3"/>
      <c r="B3" s="121" t="str">
        <f>UPPER(TEXT(DATE(カレンダーの年,10,1),"yyyy年m月"))</f>
        <v>2023年10月</v>
      </c>
      <c r="C3" s="121"/>
      <c r="D3" s="121"/>
      <c r="E3" s="121"/>
      <c r="F3" s="121"/>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IF(DAY(OctSun1)=1,"",IF(AND(YEAR(OctSun1+1)=カレンダーの年,MONTH(OctSun1+1)=10),OctSun1+1,""))</f>
        <v/>
      </c>
      <c r="C5" s="10" t="str">
        <f>IF(DAY(OctSun1)=1,"",IF(AND(YEAR(OctSun1+2)=カレンダーの年,MONTH(OctSun1+2)=10),OctSun1+2,""))</f>
        <v/>
      </c>
      <c r="D5" s="10" t="str">
        <f>IF(DAY(OctSun1)=1,"",IF(AND(YEAR(OctSun1+3)=カレンダーの年,MONTH(OctSun1+3)=10),OctSun1+3,""))</f>
        <v/>
      </c>
      <c r="E5" s="10" t="str">
        <f>IF(DAY(OctSun1)=1,"",IF(AND(YEAR(OctSun1+4)=カレンダーの年,MONTH(OctSun1+4)=10),OctSun1+4,""))</f>
        <v/>
      </c>
      <c r="F5" s="10" t="str">
        <f>IF(DAY(OctSun1)=1,"",IF(AND(YEAR(OctSun1+5)=カレンダーの年,MONTH(OctSun1+5)=10),OctSun1+5,""))</f>
        <v/>
      </c>
      <c r="G5" s="10" t="str">
        <f>IF(DAY(OctSun1)=1,"",IF(AND(YEAR(OctSun1+6)=カレンダーの年,MONTH(OctSun1+6)=10),OctSun1+6,""))</f>
        <v/>
      </c>
      <c r="H5" s="10">
        <f>IF(DAY(OctSun1)=1,IF(AND(YEAR(OctSun1)=カレンダーの年,MONTH(OctSun1)=10),OctSun1,""),IF(AND(YEAR(OctSun1+7)=カレンダーの年,MONTH(OctSun1+7)=10),OctSun1+7,""))</f>
        <v>45200</v>
      </c>
      <c r="I5" s="11"/>
      <c r="K5" s="1"/>
      <c r="L5" s="1"/>
      <c r="M5" s="1"/>
      <c r="Q5" s="12"/>
      <c r="R5" s="1"/>
    </row>
    <row r="6" spans="1:18" s="12" customFormat="1" ht="66.75">
      <c r="A6" s="3"/>
      <c r="B6" s="13"/>
      <c r="C6" s="13"/>
      <c r="D6" s="13"/>
      <c r="E6" s="13"/>
      <c r="F6" s="13"/>
      <c r="G6" s="14"/>
      <c r="H6" s="49" t="s">
        <v>84</v>
      </c>
      <c r="I6" s="11"/>
    </row>
    <row r="7" spans="1:18" ht="15" customHeight="1">
      <c r="A7" s="3"/>
      <c r="B7" s="15">
        <f>IF(DAY(OctSun1)=1,IF(AND(YEAR(OctSun1+1)=カレンダーの年,MONTH(OctSun1+1)=10),OctSun1+1,""),IF(AND(YEAR(OctSun1+8)=カレンダーの年,MONTH(OctSun1+8)=10),OctSun1+8,""))</f>
        <v>45201</v>
      </c>
      <c r="C7" s="15">
        <f>IF(DAY(OctSun1)=1,IF(AND(YEAR(OctSun1+2)=カレンダーの年,MONTH(OctSun1+2)=10),OctSun1+2,""),IF(AND(YEAR(OctSun1+9)=カレンダーの年,MONTH(OctSun1+9)=10),OctSun1+9,""))</f>
        <v>45202</v>
      </c>
      <c r="D7" s="15">
        <f>IF(DAY(OctSun1)=1,IF(AND(YEAR(OctSun1+3)=カレンダーの年,MONTH(OctSun1+3)=10),OctSun1+3,""),IF(AND(YEAR(OctSun1+10)=カレンダーの年,MONTH(OctSun1+10)=10),OctSun1+10,""))</f>
        <v>45203</v>
      </c>
      <c r="E7" s="15">
        <f>IF(DAY(OctSun1)=1,IF(AND(YEAR(OctSun1+4)=カレンダーの年,MONTH(OctSun1+4)=10),OctSun1+4,""),IF(AND(YEAR(OctSun1+11)=カレンダーの年,MONTH(OctSun1+11)=10),OctSun1+11,""))</f>
        <v>45204</v>
      </c>
      <c r="F7" s="15">
        <f>IF(DAY(OctSun1)=1,IF(AND(YEAR(OctSun1+5)=カレンダーの年,MONTH(OctSun1+5)=10),OctSun1+5,""),IF(AND(YEAR(OctSun1+12)=カレンダーの年,MONTH(OctSun1+12)=10),OctSun1+12,""))</f>
        <v>45205</v>
      </c>
      <c r="G7" s="15">
        <f>IF(DAY(OctSun1)=1,IF(AND(YEAR(OctSun1+6)=カレンダーの年,MONTH(OctSun1+6)=10),OctSun1+6,""),IF(AND(YEAR(OctSun1+13)=カレンダーの年,MONTH(OctSun1+13)=10),OctSun1+13,""))</f>
        <v>45206</v>
      </c>
      <c r="H7" s="15">
        <f>IF(DAY(OctSun1)=1,IF(AND(YEAR(OctSun1+7)=カレンダーの年,MONTH(OctSun1+7)=10),OctSun1+7,""),IF(AND(YEAR(OctSun1+14)=カレンダーの年,MONTH(OctSun1+14)=10),OctSun1+14,""))</f>
        <v>45207</v>
      </c>
      <c r="I7" s="11"/>
    </row>
    <row r="8" spans="1:18" ht="69" customHeight="1">
      <c r="A8" s="3"/>
      <c r="B8" s="16"/>
      <c r="C8" s="16"/>
      <c r="D8" s="16"/>
      <c r="E8" s="16"/>
      <c r="F8" s="16"/>
      <c r="G8" s="47"/>
      <c r="H8" s="90" t="s">
        <v>115</v>
      </c>
      <c r="I8" s="11"/>
    </row>
    <row r="9" spans="1:18" ht="15" customHeight="1">
      <c r="A9" s="3"/>
      <c r="B9" s="18">
        <f>IF(DAY(OctSun1)=1,IF(AND(YEAR(OctSun1+8)=カレンダーの年,MONTH(OctSun1+8)=10),OctSun1+8,""),IF(AND(YEAR(OctSun1+15)=カレンダーの年,MONTH(OctSun1+15)=10),OctSun1+15,""))</f>
        <v>45208</v>
      </c>
      <c r="C9" s="18">
        <f>IF(DAY(OctSun1)=1,IF(AND(YEAR(OctSun1+9)=カレンダーの年,MONTH(OctSun1+9)=10),OctSun1+9,""),IF(AND(YEAR(OctSun1+16)=カレンダーの年,MONTH(OctSun1+16)=10),OctSun1+16,""))</f>
        <v>45209</v>
      </c>
      <c r="D9" s="18">
        <f>IF(DAY(OctSun1)=1,IF(AND(YEAR(OctSun1+10)=カレンダーの年,MONTH(OctSun1+10)=10),OctSun1+10,""),IF(AND(YEAR(OctSun1+17)=カレンダーの年,MONTH(OctSun1+17)=10),OctSun1+17,""))</f>
        <v>45210</v>
      </c>
      <c r="E9" s="18">
        <f>IF(DAY(OctSun1)=1,IF(AND(YEAR(OctSun1+11)=カレンダーの年,MONTH(OctSun1+11)=10),OctSun1+11,""),IF(AND(YEAR(OctSun1+18)=カレンダーの年,MONTH(OctSun1+18)=10),OctSun1+18,""))</f>
        <v>45211</v>
      </c>
      <c r="F9" s="18">
        <f>IF(DAY(OctSun1)=1,IF(AND(YEAR(OctSun1+12)=カレンダーの年,MONTH(OctSun1+12)=10),OctSun1+12,""),IF(AND(YEAR(OctSun1+19)=カレンダーの年,MONTH(OctSun1+19)=10),OctSun1+19,""))</f>
        <v>45212</v>
      </c>
      <c r="G9" s="18">
        <f>IF(DAY(OctSun1)=1,IF(AND(YEAR(OctSun1+13)=カレンダーの年,MONTH(OctSun1+13)=10),OctSun1+13,""),IF(AND(YEAR(OctSun1+20)=カレンダーの年,MONTH(OctSun1+20)=10),OctSun1+20,""))</f>
        <v>45213</v>
      </c>
      <c r="H9" s="18">
        <f>IF(DAY(OctSun1)=1,IF(AND(YEAR(OctSun1+14)=カレンダーの年,MONTH(OctSun1+14)=10),OctSun1+14,""),IF(AND(YEAR(OctSun1+21)=カレンダーの年,MONTH(OctSun1+21)=10),OctSun1+21,""))</f>
        <v>45214</v>
      </c>
      <c r="I9" s="11"/>
    </row>
    <row r="10" spans="1:18" ht="66.75">
      <c r="A10" s="3"/>
      <c r="B10" s="91" t="s">
        <v>117</v>
      </c>
      <c r="C10" s="13"/>
      <c r="D10" s="13"/>
      <c r="E10" s="13"/>
      <c r="F10" s="13"/>
      <c r="G10" s="14"/>
      <c r="H10" s="49" t="s">
        <v>84</v>
      </c>
      <c r="I10" s="11"/>
    </row>
    <row r="11" spans="1:18" ht="15" customHeight="1">
      <c r="A11" s="3"/>
      <c r="B11" s="19">
        <f>IF(DAY(OctSun1)=1,IF(AND(YEAR(OctSun1+15)=カレンダーの年,MONTH(OctSun1+15)=10),OctSun1+15,""),IF(AND(YEAR(OctSun1+22)=カレンダーの年,MONTH(OctSun1+22)=10),OctSun1+22,""))</f>
        <v>45215</v>
      </c>
      <c r="C11" s="19">
        <f>IF(DAY(OctSun1)=1,IF(AND(YEAR(OctSun1+16)=カレンダーの年,MONTH(OctSun1+16)=10),OctSun1+16,""),IF(AND(YEAR(OctSun1+23)=カレンダーの年,MONTH(OctSun1+23)=10),OctSun1+23,""))</f>
        <v>45216</v>
      </c>
      <c r="D11" s="19">
        <f>IF(DAY(OctSun1)=1,IF(AND(YEAR(OctSun1+17)=カレンダーの年,MONTH(OctSun1+17)=10),OctSun1+17,""),IF(AND(YEAR(OctSun1+24)=カレンダーの年,MONTH(OctSun1+24)=10),OctSun1+24,""))</f>
        <v>45217</v>
      </c>
      <c r="E11" s="19">
        <f>IF(DAY(OctSun1)=1,IF(AND(YEAR(OctSun1+18)=カレンダーの年,MONTH(OctSun1+18)=10),OctSun1+18,""),IF(AND(YEAR(OctSun1+25)=カレンダーの年,MONTH(OctSun1+25)=10),OctSun1+25,""))</f>
        <v>45218</v>
      </c>
      <c r="F11" s="19">
        <f>IF(DAY(OctSun1)=1,IF(AND(YEAR(OctSun1+19)=カレンダーの年,MONTH(OctSun1+19)=10),OctSun1+19,""),IF(AND(YEAR(OctSun1+26)=カレンダーの年,MONTH(OctSun1+26)=10),OctSun1+26,""))</f>
        <v>45219</v>
      </c>
      <c r="G11" s="19">
        <f>IF(DAY(OctSun1)=1,IF(AND(YEAR(OctSun1+20)=カレンダーの年,MONTH(OctSun1+20)=10),OctSun1+20,""),IF(AND(YEAR(OctSun1+27)=カレンダーの年,MONTH(OctSun1+27)=10),OctSun1+27,""))</f>
        <v>45220</v>
      </c>
      <c r="H11" s="19">
        <f>IF(DAY(OctSun1)=1,IF(AND(YEAR(OctSun1+21)=カレンダーの年,MONTH(OctSun1+21)=10),OctSun1+21,""),IF(AND(YEAR(OctSun1+28)=カレンダーの年,MONTH(OctSun1+28)=10),OctSun1+28,""))</f>
        <v>45221</v>
      </c>
      <c r="I11" s="11"/>
    </row>
    <row r="12" spans="1:18" ht="60">
      <c r="A12" s="3"/>
      <c r="B12" s="16"/>
      <c r="C12" s="16"/>
      <c r="D12" s="16"/>
      <c r="E12" s="16"/>
      <c r="F12" s="16"/>
      <c r="G12" s="89"/>
      <c r="H12" s="90" t="s">
        <v>116</v>
      </c>
      <c r="I12" s="11"/>
    </row>
    <row r="13" spans="1:18" ht="15" customHeight="1">
      <c r="A13" s="3"/>
      <c r="B13" s="18">
        <f>IF(DAY(OctSun1)=1,IF(AND(YEAR(OctSun1+22)=カレンダーの年,MONTH(OctSun1+22)=10),OctSun1+22,""),IF(AND(YEAR(OctSun1+29)=カレンダーの年,MONTH(OctSun1+29)=10),OctSun1+29,""))</f>
        <v>45222</v>
      </c>
      <c r="C13" s="18">
        <f>IF(DAY(OctSun1)=1,IF(AND(YEAR(OctSun1+23)=カレンダーの年,MONTH(OctSun1+23)=10),OctSun1+23,""),IF(AND(YEAR(OctSun1+30)=カレンダーの年,MONTH(OctSun1+30)=10),OctSun1+30,""))</f>
        <v>45223</v>
      </c>
      <c r="D13" s="18">
        <f>IF(DAY(OctSun1)=1,IF(AND(YEAR(OctSun1+24)=カレンダーの年,MONTH(OctSun1+24)=10),OctSun1+24,""),IF(AND(YEAR(OctSun1+31)=カレンダーの年,MONTH(OctSun1+31)=10),OctSun1+31,""))</f>
        <v>45224</v>
      </c>
      <c r="E13" s="18">
        <f>IF(DAY(OctSun1)=1,IF(AND(YEAR(OctSun1+25)=カレンダーの年,MONTH(OctSun1+25)=10),OctSun1+25,""),IF(AND(YEAR(OctSun1+32)=カレンダーの年,MONTH(OctSun1+32)=10),OctSun1+32,""))</f>
        <v>45225</v>
      </c>
      <c r="F13" s="18">
        <f>IF(DAY(OctSun1)=1,IF(AND(YEAR(OctSun1+26)=カレンダーの年,MONTH(OctSun1+26)=10),OctSun1+26,""),IF(AND(YEAR(OctSun1+33)=カレンダーの年,MONTH(OctSun1+33)=10),OctSun1+33,""))</f>
        <v>45226</v>
      </c>
      <c r="G13" s="18">
        <f>IF(DAY(OctSun1)=1,IF(AND(YEAR(OctSun1+27)=カレンダーの年,MONTH(OctSun1+27)=10),OctSun1+27,""),IF(AND(YEAR(OctSun1+34)=カレンダーの年,MONTH(OctSun1+34)=10),OctSun1+34,""))</f>
        <v>45227</v>
      </c>
      <c r="H13" s="18">
        <f>IF(DAY(OctSun1)=1,IF(AND(YEAR(OctSun1+28)=カレンダーの年,MONTH(OctSun1+28)=10),OctSun1+28,""),IF(AND(YEAR(OctSun1+35)=カレンダーの年,MONTH(OctSun1+35)=10),OctSun1+35,""))</f>
        <v>45228</v>
      </c>
      <c r="I13" s="11"/>
    </row>
    <row r="14" spans="1:18" ht="66.75">
      <c r="A14" s="3"/>
      <c r="B14" s="13"/>
      <c r="C14" s="13"/>
      <c r="D14" s="13"/>
      <c r="E14" s="13"/>
      <c r="F14" s="13"/>
      <c r="G14" s="14"/>
      <c r="H14" s="49" t="s">
        <v>84</v>
      </c>
      <c r="I14" s="11"/>
    </row>
    <row r="15" spans="1:18" ht="15" customHeight="1">
      <c r="A15" s="3"/>
      <c r="B15" s="19">
        <f>IF(DAY(OctSun1)=1,IF(AND(YEAR(OctSun1+29)=カレンダーの年,MONTH(OctSun1+29)=10),OctSun1+29,""),IF(AND(YEAR(OctSun1+36)=カレンダーの年,MONTH(OctSun1+36)=10),OctSun1+36,""))</f>
        <v>45229</v>
      </c>
      <c r="C15" s="20">
        <f>IF(DAY(OctSun1)=1,IF(AND(YEAR(OctSun1+30)=カレンダーの年,MONTH(OctSun1+30)=10),OctSun1+30,""),IF(AND(YEAR(OctSun1+37)=カレンダーの年,MONTH(OctSun1+37)=10),OctSun1+37,""))</f>
        <v>45230</v>
      </c>
      <c r="D15" s="118" t="s">
        <v>8</v>
      </c>
      <c r="E15" s="119"/>
      <c r="F15" s="119"/>
      <c r="G15" s="119"/>
      <c r="H15" s="120"/>
      <c r="I15" s="11"/>
    </row>
    <row r="16" spans="1:18" ht="64.5" customHeight="1">
      <c r="A16" s="3"/>
      <c r="B16" s="16"/>
      <c r="C16" s="16"/>
      <c r="D16" s="115" t="s">
        <v>60</v>
      </c>
      <c r="E16" s="116"/>
      <c r="F16" s="116"/>
      <c r="G16" s="116"/>
      <c r="H16" s="117"/>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499984740745262"/>
    <pageSetUpPr fitToPage="1"/>
  </sheetPr>
  <dimension ref="A1:R20"/>
  <sheetViews>
    <sheetView showGridLines="0" zoomScale="80" zoomScaleNormal="80" workbookViewId="0">
      <selection activeCell="H6" sqref="H6"/>
    </sheetView>
  </sheetViews>
  <sheetFormatPr defaultColWidth="6.6640625" defaultRowHeight="15"/>
  <cols>
    <col min="1" max="1" width="3.0546875" style="1" customWidth="1"/>
    <col min="2" max="2" width="9.109375" style="1" customWidth="1"/>
    <col min="3" max="3" width="8.6640625" style="1" customWidth="1"/>
    <col min="4" max="5" width="13.77734375" style="1" customWidth="1"/>
    <col min="6" max="6" width="9.5546875" style="1" customWidth="1"/>
    <col min="7" max="7" width="19.5546875" style="1" customWidth="1"/>
    <col min="8" max="8" width="21.5" style="1" bestFit="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55</v>
      </c>
      <c r="C2" s="24" t="s">
        <v>61</v>
      </c>
      <c r="D2" s="4"/>
      <c r="E2" s="4"/>
      <c r="F2" s="4"/>
      <c r="G2" s="4"/>
      <c r="H2" s="4"/>
      <c r="I2" s="4"/>
      <c r="J2" s="4"/>
    </row>
    <row r="3" spans="1:18" ht="62.25" customHeight="1">
      <c r="A3" s="3"/>
      <c r="B3" s="121" t="str">
        <f>UPPER(TEXT(DATE(カレンダーの年,11,1),"yyyy年m月"))</f>
        <v>2023年11月</v>
      </c>
      <c r="C3" s="121"/>
      <c r="D3" s="121"/>
      <c r="E3" s="121"/>
      <c r="F3" s="121"/>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IF(DAY(NovSun1)=1,"",IF(AND(YEAR(NovSun1+1)=カレンダーの年,MONTH(NovSun1+1)=11),NovSun1+1,""))</f>
        <v/>
      </c>
      <c r="C5" s="10" t="str">
        <f>IF(DAY(NovSun1)=1,"",IF(AND(YEAR(NovSun1+2)=カレンダーの年,MONTH(NovSun1+2)=11),NovSun1+2,""))</f>
        <v/>
      </c>
      <c r="D5" s="10">
        <f>IF(DAY(NovSun1)=1,"",IF(AND(YEAR(NovSun1+3)=カレンダーの年,MONTH(NovSun1+3)=11),NovSun1+3,""))</f>
        <v>45231</v>
      </c>
      <c r="E5" s="10">
        <f>IF(DAY(NovSun1)=1,"",IF(AND(YEAR(NovSun1+4)=カレンダーの年,MONTH(NovSun1+4)=11),NovSun1+4,""))</f>
        <v>45232</v>
      </c>
      <c r="F5" s="10">
        <f>IF(DAY(NovSun1)=1,"",IF(AND(YEAR(NovSun1+5)=カレンダーの年,MONTH(NovSun1+5)=11),NovSun1+5,""))</f>
        <v>45233</v>
      </c>
      <c r="G5" s="10">
        <f>IF(DAY(NovSun1)=1,"",IF(AND(YEAR(NovSun1+6)=カレンダーの年,MONTH(NovSun1+6)=11),NovSun1+6,""))</f>
        <v>45234</v>
      </c>
      <c r="H5" s="10">
        <f>IF(DAY(NovSun1)=1,IF(AND(YEAR(NovSun1)=カレンダーの年,MONTH(NovSun1)=11),NovSun1,""),IF(AND(YEAR(NovSun1+7)=カレンダーの年,MONTH(NovSun1+7)=11),NovSun1+7,""))</f>
        <v>45235</v>
      </c>
      <c r="I5" s="11"/>
      <c r="K5" s="1"/>
      <c r="L5" s="1"/>
      <c r="M5" s="1"/>
      <c r="Q5" s="12"/>
      <c r="R5" s="1"/>
    </row>
    <row r="6" spans="1:18" s="12" customFormat="1" ht="72" customHeight="1">
      <c r="A6" s="3"/>
      <c r="B6" s="13"/>
      <c r="C6" s="13"/>
      <c r="D6" s="13"/>
      <c r="E6" s="13"/>
      <c r="F6" s="13"/>
      <c r="G6" s="51"/>
      <c r="H6" s="92" t="s">
        <v>84</v>
      </c>
      <c r="I6" s="11"/>
      <c r="P6"/>
    </row>
    <row r="7" spans="1:18" ht="15" customHeight="1">
      <c r="A7" s="3"/>
      <c r="B7" s="15">
        <f>IF(DAY(NovSun1)=1,IF(AND(YEAR(NovSun1+1)=カレンダーの年,MONTH(NovSun1+1)=11),NovSun1+1,""),IF(AND(YEAR(NovSun1+8)=カレンダーの年,MONTH(NovSun1+8)=11),NovSun1+8,""))</f>
        <v>45236</v>
      </c>
      <c r="C7" s="15">
        <f>IF(DAY(NovSun1)=1,IF(AND(YEAR(NovSun1+2)=カレンダーの年,MONTH(NovSun1+2)=11),NovSun1+2,""),IF(AND(YEAR(NovSun1+9)=カレンダーの年,MONTH(NovSun1+9)=11),NovSun1+9,""))</f>
        <v>45237</v>
      </c>
      <c r="D7" s="15">
        <f>IF(DAY(NovSun1)=1,IF(AND(YEAR(NovSun1+3)=カレンダーの年,MONTH(NovSun1+3)=11),NovSun1+3,""),IF(AND(YEAR(NovSun1+10)=カレンダーの年,MONTH(NovSun1+10)=11),NovSun1+10,""))</f>
        <v>45238</v>
      </c>
      <c r="E7" s="15">
        <f>IF(DAY(NovSun1)=1,IF(AND(YEAR(NovSun1+4)=カレンダーの年,MONTH(NovSun1+4)=11),NovSun1+4,""),IF(AND(YEAR(NovSun1+11)=カレンダーの年,MONTH(NovSun1+11)=11),NovSun1+11,""))</f>
        <v>45239</v>
      </c>
      <c r="F7" s="15">
        <f>IF(DAY(NovSun1)=1,IF(AND(YEAR(NovSun1+5)=カレンダーの年,MONTH(NovSun1+5)=11),NovSun1+5,""),IF(AND(YEAR(NovSun1+12)=カレンダーの年,MONTH(NovSun1+12)=11),NovSun1+12,""))</f>
        <v>45240</v>
      </c>
      <c r="G7" s="52">
        <f>IF(DAY(NovSun1)=1,IF(AND(YEAR(NovSun1+6)=カレンダーの年,MONTH(NovSun1+6)=11),NovSun1+6,""),IF(AND(YEAR(NovSun1+13)=カレンダーの年,MONTH(NovSun1+13)=11),NovSun1+13,""))</f>
        <v>45241</v>
      </c>
      <c r="H7" s="52">
        <f>IF(DAY(NovSun1)=1,IF(AND(YEAR(NovSun1+7)=カレンダーの年,MONTH(NovSun1+7)=11),NovSun1+7,""),IF(AND(YEAR(NovSun1+14)=カレンダーの年,MONTH(NovSun1+14)=11),NovSun1+14,""))</f>
        <v>45242</v>
      </c>
      <c r="I7" s="11"/>
    </row>
    <row r="8" spans="1:18" ht="64.5" customHeight="1">
      <c r="A8" s="3"/>
      <c r="B8" s="16"/>
      <c r="C8" s="16"/>
      <c r="D8" s="16"/>
      <c r="E8" s="16"/>
      <c r="F8" s="16"/>
      <c r="G8" s="53"/>
      <c r="H8" s="58" t="s">
        <v>84</v>
      </c>
      <c r="I8" s="11"/>
      <c r="Q8"/>
    </row>
    <row r="9" spans="1:18" ht="15" customHeight="1">
      <c r="A9" s="3"/>
      <c r="B9" s="18">
        <f>IF(DAY(NovSun1)=1,IF(AND(YEAR(NovSun1+8)=カレンダーの年,MONTH(NovSun1+8)=11),NovSun1+8,""),IF(AND(YEAR(NovSun1+15)=カレンダーの年,MONTH(NovSun1+15)=11),NovSun1+15,""))</f>
        <v>45243</v>
      </c>
      <c r="C9" s="18">
        <f>IF(DAY(NovSun1)=1,IF(AND(YEAR(NovSun1+9)=カレンダーの年,MONTH(NovSun1+9)=11),NovSun1+9,""),IF(AND(YEAR(NovSun1+16)=カレンダーの年,MONTH(NovSun1+16)=11),NovSun1+16,""))</f>
        <v>45244</v>
      </c>
      <c r="D9" s="18">
        <f>IF(DAY(NovSun1)=1,IF(AND(YEAR(NovSun1+10)=カレンダーの年,MONTH(NovSun1+10)=11),NovSun1+10,""),IF(AND(YEAR(NovSun1+17)=カレンダーの年,MONTH(NovSun1+17)=11),NovSun1+17,""))</f>
        <v>45245</v>
      </c>
      <c r="E9" s="18">
        <f>IF(DAY(NovSun1)=1,IF(AND(YEAR(NovSun1+11)=カレンダーの年,MONTH(NovSun1+11)=11),NovSun1+11,""),IF(AND(YEAR(NovSun1+18)=カレンダーの年,MONTH(NovSun1+18)=11),NovSun1+18,""))</f>
        <v>45246</v>
      </c>
      <c r="F9" s="18">
        <f>IF(DAY(NovSun1)=1,IF(AND(YEAR(NovSun1+12)=カレンダーの年,MONTH(NovSun1+12)=11),NovSun1+12,""),IF(AND(YEAR(NovSun1+19)=カレンダーの年,MONTH(NovSun1+19)=11),NovSun1+19,""))</f>
        <v>45247</v>
      </c>
      <c r="G9" s="54">
        <f>IF(DAY(NovSun1)=1,IF(AND(YEAR(NovSun1+13)=カレンダーの年,MONTH(NovSun1+13)=11),NovSun1+13,""),IF(AND(YEAR(NovSun1+20)=カレンダーの年,MONTH(NovSun1+20)=11),NovSun1+20,""))</f>
        <v>45248</v>
      </c>
      <c r="H9" s="54">
        <f>IF(DAY(NovSun1)=1,IF(AND(YEAR(NovSun1+14)=カレンダーの年,MONTH(NovSun1+14)=11),NovSun1+14,""),IF(AND(YEAR(NovSun1+21)=カレンダーの年,MONTH(NovSun1+21)=11),NovSun1+21,""))</f>
        <v>45249</v>
      </c>
      <c r="I9" s="11"/>
    </row>
    <row r="10" spans="1:18" ht="64.5" customHeight="1">
      <c r="A10" s="3"/>
      <c r="B10" s="13"/>
      <c r="C10" s="13"/>
      <c r="D10" s="13"/>
      <c r="E10" s="13"/>
      <c r="F10" s="13"/>
      <c r="G10" s="57"/>
      <c r="H10" s="51" t="s">
        <v>84</v>
      </c>
      <c r="I10" s="11"/>
    </row>
    <row r="11" spans="1:18" ht="15" customHeight="1">
      <c r="A11" s="3"/>
      <c r="B11" s="19">
        <f>IF(DAY(NovSun1)=1,IF(AND(YEAR(NovSun1+15)=カレンダーの年,MONTH(NovSun1+15)=11),NovSun1+15,""),IF(AND(YEAR(NovSun1+22)=カレンダーの年,MONTH(NovSun1+22)=11),NovSun1+22,""))</f>
        <v>45250</v>
      </c>
      <c r="C11" s="19">
        <f>IF(DAY(NovSun1)=1,IF(AND(YEAR(NovSun1+16)=カレンダーの年,MONTH(NovSun1+16)=11),NovSun1+16,""),IF(AND(YEAR(NovSun1+23)=カレンダーの年,MONTH(NovSun1+23)=11),NovSun1+23,""))</f>
        <v>45251</v>
      </c>
      <c r="D11" s="19">
        <f>IF(DAY(NovSun1)=1,IF(AND(YEAR(NovSun1+17)=カレンダーの年,MONTH(NovSun1+17)=11),NovSun1+17,""),IF(AND(YEAR(NovSun1+24)=カレンダーの年,MONTH(NovSun1+24)=11),NovSun1+24,""))</f>
        <v>45252</v>
      </c>
      <c r="E11" s="19">
        <f>IF(DAY(NovSun1)=1,IF(AND(YEAR(NovSun1+18)=カレンダーの年,MONTH(NovSun1+18)=11),NovSun1+18,""),IF(AND(YEAR(NovSun1+25)=カレンダーの年,MONTH(NovSun1+25)=11),NovSun1+25,""))</f>
        <v>45253</v>
      </c>
      <c r="F11" s="19">
        <f>IF(DAY(NovSun1)=1,IF(AND(YEAR(NovSun1+19)=カレンダーの年,MONTH(NovSun1+19)=11),NovSun1+19,""),IF(AND(YEAR(NovSun1+26)=カレンダーの年,MONTH(NovSun1+26)=11),NovSun1+26,""))</f>
        <v>45254</v>
      </c>
      <c r="G11" s="55">
        <f>IF(DAY(NovSun1)=1,IF(AND(YEAR(NovSun1+20)=カレンダーの年,MONTH(NovSun1+20)=11),NovSun1+20,""),IF(AND(YEAR(NovSun1+27)=カレンダーの年,MONTH(NovSun1+27)=11),NovSun1+27,""))</f>
        <v>45255</v>
      </c>
      <c r="H11" s="55">
        <f>IF(DAY(NovSun1)=1,IF(AND(YEAR(NovSun1+21)=カレンダーの年,MONTH(NovSun1+21)=11),NovSun1+21,""),IF(AND(YEAR(NovSun1+28)=カレンダーの年,MONTH(NovSun1+28)=11),NovSun1+28,""))</f>
        <v>45256</v>
      </c>
      <c r="I11" s="11"/>
    </row>
    <row r="12" spans="1:18" ht="64.5" customHeight="1">
      <c r="A12" s="3"/>
      <c r="B12" s="16"/>
      <c r="C12" s="16"/>
      <c r="D12" s="16"/>
      <c r="E12" s="16"/>
      <c r="F12" s="16"/>
      <c r="G12" s="56"/>
      <c r="H12" s="53" t="s">
        <v>84</v>
      </c>
      <c r="I12" s="11"/>
      <c r="M12"/>
      <c r="P12"/>
    </row>
    <row r="13" spans="1:18" ht="15" customHeight="1">
      <c r="A13" s="3"/>
      <c r="B13" s="18">
        <f>IF(DAY(NovSun1)=1,IF(AND(YEAR(NovSun1+22)=カレンダーの年,MONTH(NovSun1+22)=11),NovSun1+22,""),IF(AND(YEAR(NovSun1+29)=カレンダーの年,MONTH(NovSun1+29)=11),NovSun1+29,""))</f>
        <v>45257</v>
      </c>
      <c r="C13" s="18">
        <f>IF(DAY(NovSun1)=1,IF(AND(YEAR(NovSun1+23)=カレンダーの年,MONTH(NovSun1+23)=11),NovSun1+23,""),IF(AND(YEAR(NovSun1+30)=カレンダーの年,MONTH(NovSun1+30)=11),NovSun1+30,""))</f>
        <v>45258</v>
      </c>
      <c r="D13" s="18">
        <f>IF(DAY(NovSun1)=1,IF(AND(YEAR(NovSun1+24)=カレンダーの年,MONTH(NovSun1+24)=11),NovSun1+24,""),IF(AND(YEAR(NovSun1+31)=カレンダーの年,MONTH(NovSun1+31)=11),NovSun1+31,""))</f>
        <v>45259</v>
      </c>
      <c r="E13" s="18">
        <f>IF(DAY(NovSun1)=1,IF(AND(YEAR(NovSun1+25)=カレンダーの年,MONTH(NovSun1+25)=11),NovSun1+25,""),IF(AND(YEAR(NovSun1+32)=カレンダーの年,MONTH(NovSun1+32)=11),NovSun1+32,""))</f>
        <v>45260</v>
      </c>
      <c r="F13" s="18" t="str">
        <f>IF(DAY(NovSun1)=1,IF(AND(YEAR(NovSun1+26)=カレンダーの年,MONTH(NovSun1+26)=11),NovSun1+26,""),IF(AND(YEAR(NovSun1+33)=カレンダーの年,MONTH(NovSun1+33)=11),NovSun1+33,""))</f>
        <v/>
      </c>
      <c r="G13" s="18" t="str">
        <f>IF(DAY(NovSun1)=1,IF(AND(YEAR(NovSun1+27)=カレンダーの年,MONTH(NovSun1+27)=11),NovSun1+27,""),IF(AND(YEAR(NovSun1+34)=カレンダーの年,MONTH(NovSun1+34)=11),NovSun1+34,""))</f>
        <v/>
      </c>
      <c r="H13" s="18" t="str">
        <f>IF(DAY(NovSun1)=1,IF(AND(YEAR(NovSun1+28)=カレンダーの年,MONTH(NovSun1+28)=11),NovSun1+28,""),IF(AND(YEAR(NovSun1+35)=カレンダーの年,MONTH(NovSun1+35)=11),NovSun1+35,""))</f>
        <v/>
      </c>
      <c r="I13" s="11"/>
    </row>
    <row r="14" spans="1:18" ht="91.5" customHeight="1">
      <c r="A14" s="3"/>
      <c r="B14" s="13"/>
      <c r="C14" s="13"/>
      <c r="D14" s="13"/>
      <c r="E14" s="13"/>
      <c r="F14" s="13"/>
      <c r="G14" s="14"/>
      <c r="H14" s="14"/>
      <c r="I14" s="11"/>
    </row>
    <row r="15" spans="1:18" ht="15" customHeight="1">
      <c r="A15" s="3"/>
      <c r="B15" s="19" t="str">
        <f>IF(DAY(NovSun1)=1,IF(AND(YEAR(NovSun1+29)=カレンダーの年,MONTH(NovSun1+29)=11),NovSun1+29,""),IF(AND(YEAR(NovSun1+36)=カレンダーの年,MONTH(NovSun1+36)=11),NovSun1+36,""))</f>
        <v/>
      </c>
      <c r="C15" s="20" t="str">
        <f>IF(DAY(NovSun1)=1,IF(AND(YEAR(NovSun1+30)=カレンダーの年,MONTH(NovSun1+30)=11),NovSun1+30,""),IF(AND(YEAR(NovSun1+37)=カレンダーの年,MONTH(NovSun1+37)=11),NovSun1+37,""))</f>
        <v/>
      </c>
      <c r="D15" s="118" t="s">
        <v>8</v>
      </c>
      <c r="E15" s="119"/>
      <c r="F15" s="119"/>
      <c r="G15" s="119"/>
      <c r="H15" s="120"/>
      <c r="I15" s="11"/>
    </row>
    <row r="16" spans="1:18" ht="64.5" customHeight="1">
      <c r="A16" s="3"/>
      <c r="B16" s="16"/>
      <c r="C16" s="16"/>
      <c r="D16" s="122" t="s">
        <v>118</v>
      </c>
      <c r="E16" s="116"/>
      <c r="F16" s="116"/>
      <c r="G16" s="116"/>
      <c r="H16" s="117"/>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34998626667073579"/>
    <pageSetUpPr fitToPage="1"/>
  </sheetPr>
  <dimension ref="A1:R20"/>
  <sheetViews>
    <sheetView showGridLines="0" tabSelected="1" zoomScale="80" zoomScaleNormal="80" workbookViewId="0">
      <selection activeCell="O8" sqref="O8"/>
    </sheetView>
  </sheetViews>
  <sheetFormatPr defaultColWidth="6.6640625" defaultRowHeight="15"/>
  <cols>
    <col min="1" max="1" width="3.0546875" style="1" customWidth="1"/>
    <col min="2" max="6" width="12.21875" style="1" customWidth="1"/>
    <col min="7" max="8" width="21.1640625" style="1" bestFit="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55</v>
      </c>
      <c r="C2" s="24" t="s">
        <v>62</v>
      </c>
      <c r="D2" s="4"/>
      <c r="E2" s="4"/>
      <c r="F2" s="4"/>
      <c r="G2" s="4"/>
      <c r="H2" s="4"/>
      <c r="I2" s="4"/>
      <c r="J2" s="4"/>
    </row>
    <row r="3" spans="1:18" ht="62.25" customHeight="1">
      <c r="A3" s="3"/>
      <c r="B3" s="121" t="str">
        <f>UPPER(TEXT(DATE(カレンダーの年,12,1),"yyyy年m月"))</f>
        <v>2023年12月</v>
      </c>
      <c r="C3" s="121"/>
      <c r="D3" s="121"/>
      <c r="E3" s="121"/>
      <c r="F3" s="121"/>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IF(DAY(DecSun1)=1,"",IF(AND(YEAR(DecSun1+1)=カレンダーの年,MONTH(DecSun1+1)=12),DecSun1+1,""))</f>
        <v/>
      </c>
      <c r="C5" s="10" t="str">
        <f>IF(DAY(DecSun1)=1,"",IF(AND(YEAR(DecSun1+2)=カレンダーの年,MONTH(DecSun1+2)=12),DecSun1+2,""))</f>
        <v/>
      </c>
      <c r="D5" s="10" t="str">
        <f>IF(DAY(DecSun1)=1,"",IF(AND(YEAR(DecSun1+3)=カレンダーの年,MONTH(DecSun1+3)=12),DecSun1+3,""))</f>
        <v/>
      </c>
      <c r="E5" s="10" t="str">
        <f>IF(DAY(DecSun1)=1,"",IF(AND(YEAR(DecSun1+4)=カレンダーの年,MONTH(DecSun1+4)=12),DecSun1+4,""))</f>
        <v/>
      </c>
      <c r="F5" s="10">
        <f>IF(DAY(DecSun1)=1,"",IF(AND(YEAR(DecSun1+5)=カレンダーの年,MONTH(DecSun1+5)=12),DecSun1+5,""))</f>
        <v>45261</v>
      </c>
      <c r="G5" s="10">
        <f>IF(DAY(DecSun1)=1,"",IF(AND(YEAR(DecSun1+6)=カレンダーの年,MONTH(DecSun1+6)=12),DecSun1+6,""))</f>
        <v>45262</v>
      </c>
      <c r="H5" s="10">
        <f>IF(DAY(DecSun1)=1,IF(AND(YEAR(DecSun1)=カレンダーの年,MONTH(DecSun1)=12),DecSun1,""),IF(AND(YEAR(DecSun1+7)=カレンダーの年,MONTH(DecSun1+7)=12),DecSun1+7,""))</f>
        <v>45263</v>
      </c>
      <c r="I5" s="11"/>
      <c r="K5" s="1"/>
      <c r="L5" s="1"/>
      <c r="M5" s="1"/>
      <c r="Q5" s="12"/>
      <c r="R5" s="1"/>
    </row>
    <row r="6" spans="1:18" s="12" customFormat="1" ht="64.5" customHeight="1">
      <c r="A6" s="3"/>
      <c r="B6" s="13"/>
      <c r="C6" s="13"/>
      <c r="D6" s="13"/>
      <c r="E6" s="13"/>
      <c r="F6" s="13"/>
      <c r="G6" s="14"/>
      <c r="H6" s="123" t="s">
        <v>119</v>
      </c>
      <c r="I6" s="11"/>
    </row>
    <row r="7" spans="1:18" ht="15" customHeight="1">
      <c r="A7" s="3"/>
      <c r="B7" s="15">
        <f>IF(DAY(DecSun1)=1,IF(AND(YEAR(DecSun1+1)=カレンダーの年,MONTH(DecSun1+1)=12),DecSun1+1,""),IF(AND(YEAR(DecSun1+8)=カレンダーの年,MONTH(DecSun1+8)=12),DecSun1+8,""))</f>
        <v>45264</v>
      </c>
      <c r="C7" s="15">
        <f>IF(DAY(DecSun1)=1,IF(AND(YEAR(DecSun1+2)=カレンダーの年,MONTH(DecSun1+2)=12),DecSun1+2,""),IF(AND(YEAR(DecSun1+9)=カレンダーの年,MONTH(DecSun1+9)=12),DecSun1+9,""))</f>
        <v>45265</v>
      </c>
      <c r="D7" s="15">
        <f>IF(DAY(DecSun1)=1,IF(AND(YEAR(DecSun1+3)=カレンダーの年,MONTH(DecSun1+3)=12),DecSun1+3,""),IF(AND(YEAR(DecSun1+10)=カレンダーの年,MONTH(DecSun1+10)=12),DecSun1+10,""))</f>
        <v>45266</v>
      </c>
      <c r="E7" s="15">
        <f>IF(DAY(DecSun1)=1,IF(AND(YEAR(DecSun1+4)=カレンダーの年,MONTH(DecSun1+4)=12),DecSun1+4,""),IF(AND(YEAR(DecSun1+11)=カレンダーの年,MONTH(DecSun1+11)=12),DecSun1+11,""))</f>
        <v>45267</v>
      </c>
      <c r="F7" s="15">
        <f>IF(DAY(DecSun1)=1,IF(AND(YEAR(DecSun1+5)=カレンダーの年,MONTH(DecSun1+5)=12),DecSun1+5,""),IF(AND(YEAR(DecSun1+12)=カレンダーの年,MONTH(DecSun1+12)=12),DecSun1+12,""))</f>
        <v>45268</v>
      </c>
      <c r="G7" s="15">
        <f>IF(DAY(DecSun1)=1,IF(AND(YEAR(DecSun1+6)=カレンダーの年,MONTH(DecSun1+6)=12),DecSun1+6,""),IF(AND(YEAR(DecSun1+13)=カレンダーの年,MONTH(DecSun1+13)=12),DecSun1+13,""))</f>
        <v>45269</v>
      </c>
      <c r="H7" s="15">
        <f>IF(DAY(DecSun1)=1,IF(AND(YEAR(DecSun1+7)=カレンダーの年,MONTH(DecSun1+7)=12),DecSun1+7,""),IF(AND(YEAR(DecSun1+14)=カレンダーの年,MONTH(DecSun1+14)=12),DecSun1+14,""))</f>
        <v>45270</v>
      </c>
      <c r="I7" s="11"/>
    </row>
    <row r="8" spans="1:18" ht="64.5" customHeight="1">
      <c r="A8" s="3"/>
      <c r="B8" s="16"/>
      <c r="C8" s="16"/>
      <c r="D8" s="16"/>
      <c r="E8" s="16"/>
      <c r="F8" s="16"/>
      <c r="G8" s="17"/>
      <c r="H8" s="124" t="s">
        <v>120</v>
      </c>
      <c r="I8" s="11"/>
    </row>
    <row r="9" spans="1:18" ht="15" customHeight="1">
      <c r="A9" s="3"/>
      <c r="B9" s="18">
        <f>IF(DAY(DecSun1)=1,IF(AND(YEAR(DecSun1+8)=カレンダーの年,MONTH(DecSun1+8)=12),DecSun1+8,""),IF(AND(YEAR(DecSun1+15)=カレンダーの年,MONTH(DecSun1+15)=12),DecSun1+15,""))</f>
        <v>45271</v>
      </c>
      <c r="C9" s="18">
        <f>IF(DAY(DecSun1)=1,IF(AND(YEAR(DecSun1+9)=カレンダーの年,MONTH(DecSun1+9)=12),DecSun1+9,""),IF(AND(YEAR(DecSun1+16)=カレンダーの年,MONTH(DecSun1+16)=12),DecSun1+16,""))</f>
        <v>45272</v>
      </c>
      <c r="D9" s="18">
        <f>IF(DAY(DecSun1)=1,IF(AND(YEAR(DecSun1+10)=カレンダーの年,MONTH(DecSun1+10)=12),DecSun1+10,""),IF(AND(YEAR(DecSun1+17)=カレンダーの年,MONTH(DecSun1+17)=12),DecSun1+17,""))</f>
        <v>45273</v>
      </c>
      <c r="E9" s="18">
        <f>IF(DAY(DecSun1)=1,IF(AND(YEAR(DecSun1+11)=カレンダーの年,MONTH(DecSun1+11)=12),DecSun1+11,""),IF(AND(YEAR(DecSun1+18)=カレンダーの年,MONTH(DecSun1+18)=12),DecSun1+18,""))</f>
        <v>45274</v>
      </c>
      <c r="F9" s="18">
        <f>IF(DAY(DecSun1)=1,IF(AND(YEAR(DecSun1+12)=カレンダーの年,MONTH(DecSun1+12)=12),DecSun1+12,""),IF(AND(YEAR(DecSun1+19)=カレンダーの年,MONTH(DecSun1+19)=12),DecSun1+19,""))</f>
        <v>45275</v>
      </c>
      <c r="G9" s="18">
        <f>IF(DAY(DecSun1)=1,IF(AND(YEAR(DecSun1+13)=カレンダーの年,MONTH(DecSun1+13)=12),DecSun1+13,""),IF(AND(YEAR(DecSun1+20)=カレンダーの年,MONTH(DecSun1+20)=12),DecSun1+20,""))</f>
        <v>45276</v>
      </c>
      <c r="H9" s="18">
        <f>IF(DAY(DecSun1)=1,IF(AND(YEAR(DecSun1+14)=カレンダーの年,MONTH(DecSun1+14)=12),DecSun1+14,""),IF(AND(YEAR(DecSun1+21)=カレンダーの年,MONTH(DecSun1+21)=12),DecSun1+21,""))</f>
        <v>45277</v>
      </c>
      <c r="I9" s="11"/>
    </row>
    <row r="10" spans="1:18" ht="64.5" customHeight="1">
      <c r="A10" s="3"/>
      <c r="B10" s="13"/>
      <c r="C10" s="13"/>
      <c r="D10" s="13"/>
      <c r="E10" s="13"/>
      <c r="F10" s="13"/>
      <c r="G10" s="14"/>
      <c r="H10" s="49" t="s">
        <v>119</v>
      </c>
      <c r="I10" s="11"/>
    </row>
    <row r="11" spans="1:18" ht="15" customHeight="1">
      <c r="A11" s="3"/>
      <c r="B11" s="19">
        <f>IF(DAY(DecSun1)=1,IF(AND(YEAR(DecSun1+15)=カレンダーの年,MONTH(DecSun1+15)=12),DecSun1+15,""),IF(AND(YEAR(DecSun1+22)=カレンダーの年,MONTH(DecSun1+22)=12),DecSun1+22,""))</f>
        <v>45278</v>
      </c>
      <c r="C11" s="19">
        <f>IF(DAY(DecSun1)=1,IF(AND(YEAR(DecSun1+16)=カレンダーの年,MONTH(DecSun1+16)=12),DecSun1+16,""),IF(AND(YEAR(DecSun1+23)=カレンダーの年,MONTH(DecSun1+23)=12),DecSun1+23,""))</f>
        <v>45279</v>
      </c>
      <c r="D11" s="19">
        <f>IF(DAY(DecSun1)=1,IF(AND(YEAR(DecSun1+17)=カレンダーの年,MONTH(DecSun1+17)=12),DecSun1+17,""),IF(AND(YEAR(DecSun1+24)=カレンダーの年,MONTH(DecSun1+24)=12),DecSun1+24,""))</f>
        <v>45280</v>
      </c>
      <c r="E11" s="19">
        <f>IF(DAY(DecSun1)=1,IF(AND(YEAR(DecSun1+18)=カレンダーの年,MONTH(DecSun1+18)=12),DecSun1+18,""),IF(AND(YEAR(DecSun1+25)=カレンダーの年,MONTH(DecSun1+25)=12),DecSun1+25,""))</f>
        <v>45281</v>
      </c>
      <c r="F11" s="19">
        <f>IF(DAY(DecSun1)=1,IF(AND(YEAR(DecSun1+19)=カレンダーの年,MONTH(DecSun1+19)=12),DecSun1+19,""),IF(AND(YEAR(DecSun1+26)=カレンダーの年,MONTH(DecSun1+26)=12),DecSun1+26,""))</f>
        <v>45282</v>
      </c>
      <c r="G11" s="19">
        <f>IF(DAY(DecSun1)=1,IF(AND(YEAR(DecSun1+20)=カレンダーの年,MONTH(DecSun1+20)=12),DecSun1+20,""),IF(AND(YEAR(DecSun1+27)=カレンダーの年,MONTH(DecSun1+27)=12),DecSun1+27,""))</f>
        <v>45283</v>
      </c>
      <c r="H11" s="19">
        <f>IF(DAY(DecSun1)=1,IF(AND(YEAR(DecSun1+21)=カレンダーの年,MONTH(DecSun1+21)=12),DecSun1+21,""),IF(AND(YEAR(DecSun1+28)=カレンダーの年,MONTH(DecSun1+28)=12),DecSun1+28,""))</f>
        <v>45284</v>
      </c>
      <c r="I11" s="11"/>
    </row>
    <row r="12" spans="1:18" ht="64.5" customHeight="1">
      <c r="A12" s="3"/>
      <c r="B12" s="16"/>
      <c r="C12" s="16"/>
      <c r="D12" s="16"/>
      <c r="E12" s="16"/>
      <c r="F12" s="16"/>
      <c r="G12" s="58"/>
      <c r="H12" s="48" t="s">
        <v>119</v>
      </c>
      <c r="I12" s="11"/>
    </row>
    <row r="13" spans="1:18" ht="15" customHeight="1">
      <c r="A13" s="3"/>
      <c r="B13" s="18">
        <f>IF(DAY(DecSun1)=1,IF(AND(YEAR(DecSun1+22)=カレンダーの年,MONTH(DecSun1+22)=12),DecSun1+22,""),IF(AND(YEAR(DecSun1+29)=カレンダーの年,MONTH(DecSun1+29)=12),DecSun1+29,""))</f>
        <v>45285</v>
      </c>
      <c r="C13" s="18">
        <f>IF(DAY(DecSun1)=1,IF(AND(YEAR(DecSun1+23)=カレンダーの年,MONTH(DecSun1+23)=12),DecSun1+23,""),IF(AND(YEAR(DecSun1+30)=カレンダーの年,MONTH(DecSun1+30)=12),DecSun1+30,""))</f>
        <v>45286</v>
      </c>
      <c r="D13" s="18">
        <f>IF(DAY(DecSun1)=1,IF(AND(YEAR(DecSun1+24)=カレンダーの年,MONTH(DecSun1+24)=12),DecSun1+24,""),IF(AND(YEAR(DecSun1+31)=カレンダーの年,MONTH(DecSun1+31)=12),DecSun1+31,""))</f>
        <v>45287</v>
      </c>
      <c r="E13" s="18">
        <f>IF(DAY(DecSun1)=1,IF(AND(YEAR(DecSun1+25)=カレンダーの年,MONTH(DecSun1+25)=12),DecSun1+25,""),IF(AND(YEAR(DecSun1+32)=カレンダーの年,MONTH(DecSun1+32)=12),DecSun1+32,""))</f>
        <v>45288</v>
      </c>
      <c r="F13" s="18">
        <f>IF(DAY(DecSun1)=1,IF(AND(YEAR(DecSun1+26)=カレンダーの年,MONTH(DecSun1+26)=12),DecSun1+26,""),IF(AND(YEAR(DecSun1+33)=カレンダーの年,MONTH(DecSun1+33)=12),DecSun1+33,""))</f>
        <v>45289</v>
      </c>
      <c r="G13" s="18">
        <f>IF(DAY(DecSun1)=1,IF(AND(YEAR(DecSun1+27)=カレンダーの年,MONTH(DecSun1+27)=12),DecSun1+27,""),IF(AND(YEAR(DecSun1+34)=カレンダーの年,MONTH(DecSun1+34)=12),DecSun1+34,""))</f>
        <v>45290</v>
      </c>
      <c r="H13" s="18">
        <f>IF(DAY(DecSun1)=1,IF(AND(YEAR(DecSun1+28)=カレンダーの年,MONTH(DecSun1+28)=12),DecSun1+28,""),IF(AND(YEAR(DecSun1+35)=カレンダーの年,MONTH(DecSun1+35)=12),DecSun1+35,""))</f>
        <v>45291</v>
      </c>
      <c r="I13" s="11"/>
    </row>
    <row r="14" spans="1:18" ht="64.5" customHeight="1">
      <c r="A14" s="3"/>
      <c r="B14" s="13"/>
      <c r="C14" s="13"/>
      <c r="D14" s="13"/>
      <c r="E14" s="13"/>
      <c r="F14" s="13"/>
      <c r="G14" s="14"/>
      <c r="H14" s="14"/>
      <c r="I14" s="11"/>
    </row>
    <row r="15" spans="1:18" ht="15" customHeight="1">
      <c r="A15" s="3"/>
      <c r="B15" s="19" t="str">
        <f>IF(DAY(DecSun1)=1,IF(AND(YEAR(DecSun1+29)=カレンダーの年,MONTH(DecSun1+29)=12),DecSun1+29,""),IF(AND(YEAR(DecSun1+36)=カレンダーの年,MONTH(DecSun1+36)=12),DecSun1+36,""))</f>
        <v/>
      </c>
      <c r="C15" s="20" t="str">
        <f>IF(DAY(DecSun1)=1,IF(AND(YEAR(DecSun1+30)=カレンダーの年,MONTH(DecSun1+30)=12),DecSun1+30,""),IF(AND(YEAR(DecSun1+37)=カレンダーの年,MONTH(DecSun1+37)=12),DecSun1+37,""))</f>
        <v/>
      </c>
      <c r="D15" s="118" t="s">
        <v>8</v>
      </c>
      <c r="E15" s="119"/>
      <c r="F15" s="119"/>
      <c r="G15" s="119"/>
      <c r="H15" s="120"/>
      <c r="I15" s="11"/>
    </row>
    <row r="16" spans="1:18" ht="64.5" customHeight="1">
      <c r="A16" s="3"/>
      <c r="B16" s="16"/>
      <c r="C16" s="16"/>
      <c r="D16" s="115" t="s">
        <v>63</v>
      </c>
      <c r="E16" s="116"/>
      <c r="F16" s="116"/>
      <c r="G16" s="116"/>
      <c r="H16" s="117"/>
      <c r="I16" s="11"/>
    </row>
    <row r="17" spans="3:5" ht="2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C77C-6134-4876-B8D1-0B7C6D556721}">
  <dimension ref="B2:K11"/>
  <sheetViews>
    <sheetView showGridLines="0" zoomScale="94" zoomScaleNormal="115" workbookViewId="0">
      <selection activeCell="E31" sqref="E31"/>
    </sheetView>
  </sheetViews>
  <sheetFormatPr defaultRowHeight="12.75"/>
  <cols>
    <col min="1" max="1" width="8.88671875" style="30"/>
    <col min="2" max="2" width="0.5" style="34" customWidth="1"/>
    <col min="3" max="3" width="10.5" style="34" customWidth="1"/>
    <col min="4" max="5" width="9.38671875" style="34" customWidth="1"/>
    <col min="6" max="7" width="9.27734375" style="34" customWidth="1"/>
    <col min="8" max="8" width="0.77734375" style="34" customWidth="1"/>
    <col min="9" max="11" width="8.88671875" style="34"/>
    <col min="12" max="16384" width="8.88671875" style="30"/>
  </cols>
  <sheetData>
    <row r="2" spans="2:11">
      <c r="C2" s="35" t="s">
        <v>30</v>
      </c>
    </row>
    <row r="3" spans="2:11">
      <c r="C3" s="36"/>
      <c r="D3" s="110" t="s">
        <v>31</v>
      </c>
      <c r="E3" s="110"/>
      <c r="F3" s="110" t="s">
        <v>32</v>
      </c>
      <c r="G3" s="110"/>
      <c r="H3" s="37"/>
    </row>
    <row r="4" spans="2:11">
      <c r="C4" s="38" t="s">
        <v>33</v>
      </c>
      <c r="D4" s="38" t="s">
        <v>34</v>
      </c>
      <c r="E4" s="38" t="s">
        <v>35</v>
      </c>
      <c r="F4" s="38" t="s">
        <v>34</v>
      </c>
      <c r="G4" s="38" t="s">
        <v>35</v>
      </c>
      <c r="H4" s="39"/>
    </row>
    <row r="5" spans="2:11" s="42" customFormat="1" ht="28.5">
      <c r="B5" s="39"/>
      <c r="C5" s="40" t="s">
        <v>36</v>
      </c>
      <c r="D5" s="41"/>
      <c r="E5" s="41"/>
      <c r="F5" s="38" t="s">
        <v>37</v>
      </c>
      <c r="G5" s="38"/>
      <c r="H5" s="39"/>
      <c r="I5" s="39"/>
      <c r="J5" s="39"/>
      <c r="K5" s="39"/>
    </row>
    <row r="6" spans="2:11" s="42" customFormat="1" ht="28.5">
      <c r="B6" s="39"/>
      <c r="C6" s="40" t="s">
        <v>38</v>
      </c>
      <c r="D6" s="41"/>
      <c r="E6" s="41"/>
      <c r="F6" s="38" t="s">
        <v>39</v>
      </c>
      <c r="G6" s="43" t="s">
        <v>40</v>
      </c>
      <c r="H6" s="44"/>
      <c r="I6" s="39"/>
      <c r="J6" s="39"/>
      <c r="K6" s="39"/>
    </row>
    <row r="7" spans="2:11" s="42" customFormat="1" ht="28.5">
      <c r="B7" s="39"/>
      <c r="C7" s="40" t="s">
        <v>41</v>
      </c>
      <c r="D7" s="38" t="s">
        <v>42</v>
      </c>
      <c r="E7" s="43" t="s">
        <v>43</v>
      </c>
      <c r="F7" s="43" t="s">
        <v>44</v>
      </c>
      <c r="G7" s="43"/>
      <c r="H7" s="39"/>
      <c r="I7" s="39"/>
      <c r="J7" s="39"/>
      <c r="K7" s="39"/>
    </row>
    <row r="8" spans="2:11" s="42" customFormat="1" ht="30.4" customHeight="1">
      <c r="B8" s="39"/>
      <c r="C8" s="40" t="s">
        <v>45</v>
      </c>
      <c r="D8" s="43" t="s">
        <v>46</v>
      </c>
      <c r="E8" s="43"/>
      <c r="F8" s="38"/>
      <c r="G8" s="38"/>
      <c r="H8" s="39"/>
      <c r="I8" s="39"/>
      <c r="J8" s="39"/>
      <c r="K8" s="39"/>
    </row>
    <row r="9" spans="2:11" ht="25.5" hidden="1">
      <c r="C9" s="43" t="s">
        <v>47</v>
      </c>
      <c r="D9" s="45" t="s">
        <v>48</v>
      </c>
      <c r="E9" s="36"/>
      <c r="F9" s="45" t="s">
        <v>48</v>
      </c>
      <c r="G9" s="36"/>
    </row>
    <row r="10" spans="2:11">
      <c r="C10" s="46" t="s">
        <v>49</v>
      </c>
      <c r="D10" s="35" t="s">
        <v>50</v>
      </c>
      <c r="E10" s="35"/>
      <c r="F10" s="35"/>
      <c r="G10" s="35"/>
    </row>
    <row r="11" spans="2:11" ht="3" customHeight="1"/>
  </sheetData>
  <mergeCells count="2">
    <mergeCell ref="D3:E3"/>
    <mergeCell ref="F3:G3"/>
  </mergeCells>
  <phoneticPr fontId="6"/>
  <pageMargins left="0.70866141732283472" right="0.70866141732283472" top="0.39370078740157483" bottom="0"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94BC3-DE0A-42C4-AD78-7D6AC800EDF8}">
  <dimension ref="B3:C20"/>
  <sheetViews>
    <sheetView workbookViewId="0">
      <selection activeCell="C31" sqref="C31"/>
    </sheetView>
  </sheetViews>
  <sheetFormatPr defaultRowHeight="12.75"/>
  <cols>
    <col min="1" max="1" width="4.5546875" style="30" customWidth="1"/>
    <col min="2" max="2" width="18.38671875" style="30" customWidth="1"/>
    <col min="3" max="3" width="51.27734375" style="30" customWidth="1"/>
    <col min="4" max="16384" width="8.88671875" style="30"/>
  </cols>
  <sheetData>
    <row r="3" spans="2:3" ht="14.25">
      <c r="B3" s="28" t="s">
        <v>12</v>
      </c>
      <c r="C3" s="29" t="s">
        <v>13</v>
      </c>
    </row>
    <row r="4" spans="2:3">
      <c r="B4" s="31">
        <v>1</v>
      </c>
      <c r="C4" s="32" t="s">
        <v>14</v>
      </c>
    </row>
    <row r="5" spans="2:3">
      <c r="B5" s="31">
        <v>1.5</v>
      </c>
      <c r="C5" s="32" t="s">
        <v>15</v>
      </c>
    </row>
    <row r="6" spans="2:3" ht="24.4" customHeight="1">
      <c r="B6" s="31">
        <v>2</v>
      </c>
      <c r="C6" s="32" t="s">
        <v>16</v>
      </c>
    </row>
    <row r="7" spans="2:3">
      <c r="B7" s="31">
        <v>2.5</v>
      </c>
      <c r="C7" s="32" t="s">
        <v>17</v>
      </c>
    </row>
    <row r="8" spans="2:3" ht="25.9" customHeight="1">
      <c r="B8" s="31">
        <v>3</v>
      </c>
      <c r="C8" s="32" t="s">
        <v>18</v>
      </c>
    </row>
    <row r="9" spans="2:3">
      <c r="B9" s="31">
        <v>3.5</v>
      </c>
      <c r="C9" s="111" t="s">
        <v>19</v>
      </c>
    </row>
    <row r="10" spans="2:3">
      <c r="B10" s="33" t="s">
        <v>20</v>
      </c>
      <c r="C10" s="112"/>
    </row>
    <row r="11" spans="2:3">
      <c r="B11" s="31">
        <v>4</v>
      </c>
      <c r="C11" s="111" t="s">
        <v>21</v>
      </c>
    </row>
    <row r="12" spans="2:3">
      <c r="B12" s="33" t="s">
        <v>22</v>
      </c>
      <c r="C12" s="112"/>
    </row>
    <row r="13" spans="2:3">
      <c r="B13" s="31">
        <v>4.5</v>
      </c>
      <c r="C13" s="111" t="s">
        <v>23</v>
      </c>
    </row>
    <row r="14" spans="2:3" ht="25.5">
      <c r="B14" s="33" t="s">
        <v>24</v>
      </c>
      <c r="C14" s="112"/>
    </row>
    <row r="15" spans="2:3">
      <c r="B15" s="113">
        <v>5</v>
      </c>
      <c r="C15" s="111" t="s">
        <v>25</v>
      </c>
    </row>
    <row r="16" spans="2:3">
      <c r="B16" s="114"/>
      <c r="C16" s="112"/>
    </row>
    <row r="17" spans="2:3">
      <c r="B17" s="31">
        <v>5.5</v>
      </c>
      <c r="C17" s="32" t="s">
        <v>26</v>
      </c>
    </row>
    <row r="18" spans="2:3">
      <c r="B18" s="31">
        <v>6</v>
      </c>
      <c r="C18" s="32" t="s">
        <v>27</v>
      </c>
    </row>
    <row r="19" spans="2:3">
      <c r="B19" s="31">
        <v>6.5</v>
      </c>
      <c r="C19" s="32" t="s">
        <v>28</v>
      </c>
    </row>
    <row r="20" spans="2:3">
      <c r="B20" s="31">
        <v>7</v>
      </c>
      <c r="C20" s="32" t="s">
        <v>29</v>
      </c>
    </row>
  </sheetData>
  <mergeCells count="5">
    <mergeCell ref="C9:C10"/>
    <mergeCell ref="C11:C12"/>
    <mergeCell ref="C13:C14"/>
    <mergeCell ref="B15:B16"/>
    <mergeCell ref="C15:C16"/>
  </mergeCells>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pageSetUpPr fitToPage="1"/>
  </sheetPr>
  <dimension ref="A1:R20"/>
  <sheetViews>
    <sheetView showGridLines="0" zoomScale="80" zoomScaleNormal="80" workbookViewId="0">
      <selection activeCell="D16" sqref="D16:H16"/>
    </sheetView>
  </sheetViews>
  <sheetFormatPr defaultColWidth="6.6640625" defaultRowHeight="15"/>
  <cols>
    <col min="1" max="1" width="3.0546875" style="1" customWidth="1"/>
    <col min="2" max="6" width="10.6640625" style="1" customWidth="1"/>
    <col min="7" max="8" width="20.71875" style="1" customWidth="1"/>
    <col min="9" max="9" width="13.77734375" style="1" customWidth="1"/>
    <col min="10" max="10" width="12.6640625" style="1" customWidth="1"/>
    <col min="11" max="11" width="12.44140625" style="1" customWidth="1"/>
    <col min="12" max="12" width="11.77734375" style="1" customWidth="1"/>
    <col min="13" max="13" width="11.27734375" style="1" customWidth="1"/>
    <col min="14" max="16384" width="6.6640625" style="1"/>
  </cols>
  <sheetData>
    <row r="1" spans="1:18" ht="14.25" customHeight="1">
      <c r="K1" s="2" t="s">
        <v>7</v>
      </c>
    </row>
    <row r="2" spans="1:18" ht="30" customHeight="1">
      <c r="A2" s="3"/>
      <c r="B2" s="24" t="s">
        <v>55</v>
      </c>
      <c r="C2" s="24" t="s">
        <v>62</v>
      </c>
      <c r="D2" s="4"/>
      <c r="E2" s="4"/>
      <c r="F2" s="4"/>
      <c r="G2" s="4"/>
      <c r="H2" s="4"/>
      <c r="I2" s="4"/>
      <c r="J2" s="4"/>
      <c r="K2" s="5">
        <v>2023</v>
      </c>
    </row>
    <row r="3" spans="1:18" ht="62.25" customHeight="1">
      <c r="A3" s="3"/>
      <c r="B3" s="121" t="str">
        <f>UPPER(TEXT(DATE(カレンダーの年,1,1),"yyyy年m月"))</f>
        <v>2023年1月</v>
      </c>
      <c r="C3" s="121"/>
      <c r="D3" s="121"/>
      <c r="E3" s="121"/>
      <c r="F3" s="121"/>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IF(DAY(JanSun1)=1,"",IF(AND(YEAR(JanSun1+1)=カレンダーの年,MONTH(JanSun1+1)=1),JanSun1+1,""))</f>
        <v/>
      </c>
      <c r="C5" s="10" t="str">
        <f>IF(DAY(JanSun1)=1,"",IF(AND(YEAR(JanSun1+2)=カレンダーの年,MONTH(JanSun1+2)=1),JanSun1+2,""))</f>
        <v/>
      </c>
      <c r="D5" s="10" t="str">
        <f>IF(DAY(JanSun1)=1,"",IF(AND(YEAR(JanSun1+3)=カレンダーの年,MONTH(JanSun1+3)=1),JanSun1+3,""))</f>
        <v/>
      </c>
      <c r="E5" s="10" t="str">
        <f>IF(DAY(JanSun1)=1,"",IF(AND(YEAR(JanSun1+4)=カレンダーの年,MONTH(JanSun1+4)=1),JanSun1+4,""))</f>
        <v/>
      </c>
      <c r="F5" s="10" t="str">
        <f>IF(DAY(JanSun1)=1,"",IF(AND(YEAR(JanSun1+5)=カレンダーの年,MONTH(JanSun1+5)=1),JanSun1+5,""))</f>
        <v/>
      </c>
      <c r="G5" s="10" t="str">
        <f>IF(DAY(JanSun1)=1,"",IF(AND(YEAR(JanSun1+6)=カレンダーの年,MONTH(JanSun1+6)=1),JanSun1+6,""))</f>
        <v/>
      </c>
      <c r="H5" s="10">
        <f>IF(DAY(JanSun1)=1,IF(AND(YEAR(JanSun1)=カレンダーの年,MONTH(JanSun1)=1),JanSun1,""),IF(AND(YEAR(JanSun1+7)=カレンダーの年,MONTH(JanSun1+7)=1),JanSun1+7,""))</f>
        <v>44927</v>
      </c>
      <c r="I5" s="11"/>
      <c r="K5" s="1"/>
      <c r="L5" s="1"/>
      <c r="M5" s="1"/>
      <c r="Q5" s="12"/>
      <c r="R5" s="1"/>
    </row>
    <row r="6" spans="1:18" s="12" customFormat="1" ht="16.5">
      <c r="A6" s="3"/>
      <c r="B6" s="13"/>
      <c r="C6" s="13"/>
      <c r="D6" s="13"/>
      <c r="E6" s="13"/>
      <c r="F6" s="13"/>
      <c r="G6" s="14"/>
      <c r="H6" s="14"/>
      <c r="I6" s="11"/>
    </row>
    <row r="7" spans="1:18" ht="15" customHeight="1">
      <c r="A7" s="3"/>
      <c r="B7" s="15">
        <f>IF(DAY(JanSun1)=1,IF(AND(YEAR(JanSun1+1)=カレンダーの年,MONTH(JanSun1+1)=1),JanSun1+1,""),IF(AND(YEAR(JanSun1+8)=カレンダーの年,MONTH(JanSun1+8)=1),JanSun1+8,""))</f>
        <v>44928</v>
      </c>
      <c r="C7" s="15">
        <f>IF(DAY(JanSun1)=1,IF(AND(YEAR(JanSun1+2)=カレンダーの年,MONTH(JanSun1+2)=1),JanSun1+2,""),IF(AND(YEAR(JanSun1+9)=カレンダーの年,MONTH(JanSun1+9)=1),JanSun1+9,""))</f>
        <v>44929</v>
      </c>
      <c r="D7" s="15">
        <f>IF(DAY(JanSun1)=1,IF(AND(YEAR(JanSun1+3)=カレンダーの年,MONTH(JanSun1+3)=1),JanSun1+3,""),IF(AND(YEAR(JanSun1+10)=カレンダーの年,MONTH(JanSun1+10)=1),JanSun1+10,""))</f>
        <v>44930</v>
      </c>
      <c r="E7" s="15">
        <f>IF(DAY(JanSun1)=1,IF(AND(YEAR(JanSun1+4)=カレンダーの年,MONTH(JanSun1+4)=1),JanSun1+4,""),IF(AND(YEAR(JanSun1+11)=カレンダーの年,MONTH(JanSun1+11)=1),JanSun1+11,""))</f>
        <v>44931</v>
      </c>
      <c r="F7" s="15">
        <f>IF(DAY(JanSun1)=1,IF(AND(YEAR(JanSun1+5)=カレンダーの年,MONTH(JanSun1+5)=1),JanSun1+5,""),IF(AND(YEAR(JanSun1+12)=カレンダーの年,MONTH(JanSun1+12)=1),JanSun1+12,""))</f>
        <v>44932</v>
      </c>
      <c r="G7" s="15">
        <f>IF(DAY(JanSun1)=1,IF(AND(YEAR(JanSun1+6)=カレンダーの年,MONTH(JanSun1+6)=1),JanSun1+6,""),IF(AND(YEAR(JanSun1+13)=カレンダーの年,MONTH(JanSun1+13)=1),JanSun1+13,""))</f>
        <v>44933</v>
      </c>
      <c r="H7" s="15">
        <f>IF(DAY(JanSun1)=1,IF(AND(YEAR(JanSun1+7)=カレンダーの年,MONTH(JanSun1+7)=1),JanSun1+7,""),IF(AND(YEAR(JanSun1+14)=カレンダーの年,MONTH(JanSun1+14)=1),JanSun1+14,""))</f>
        <v>44934</v>
      </c>
      <c r="I7" s="11"/>
    </row>
    <row r="8" spans="1:18" ht="66.75">
      <c r="A8" s="3"/>
      <c r="B8" s="16"/>
      <c r="C8" s="16"/>
      <c r="D8" s="16"/>
      <c r="E8" s="16"/>
      <c r="F8" s="16"/>
      <c r="G8" s="47"/>
      <c r="H8" s="17" t="s">
        <v>52</v>
      </c>
      <c r="I8" s="11"/>
    </row>
    <row r="9" spans="1:18" ht="15" customHeight="1">
      <c r="A9" s="3"/>
      <c r="B9" s="18">
        <f>IF(DAY(JanSun1)=1,IF(AND(YEAR(JanSun1+8)=カレンダーの年,MONTH(JanSun1+8)=1),JanSun1+8,""),IF(AND(YEAR(JanSun1+15)=カレンダーの年,MONTH(JanSun1+15)=1),JanSun1+15,""))</f>
        <v>44935</v>
      </c>
      <c r="C9" s="18">
        <f>IF(DAY(JanSun1)=1,IF(AND(YEAR(JanSun1+9)=カレンダーの年,MONTH(JanSun1+9)=1),JanSun1+9,""),IF(AND(YEAR(JanSun1+16)=カレンダーの年,MONTH(JanSun1+16)=1),JanSun1+16,""))</f>
        <v>44936</v>
      </c>
      <c r="D9" s="18">
        <f>IF(DAY(JanSun1)=1,IF(AND(YEAR(JanSun1+10)=カレンダーの年,MONTH(JanSun1+10)=1),JanSun1+10,""),IF(AND(YEAR(JanSun1+17)=カレンダーの年,MONTH(JanSun1+17)=1),JanSun1+17,""))</f>
        <v>44937</v>
      </c>
      <c r="E9" s="18">
        <f>IF(DAY(JanSun1)=1,IF(AND(YEAR(JanSun1+11)=カレンダーの年,MONTH(JanSun1+11)=1),JanSun1+11,""),IF(AND(YEAR(JanSun1+18)=カレンダーの年,MONTH(JanSun1+18)=1),JanSun1+18,""))</f>
        <v>44938</v>
      </c>
      <c r="F9" s="18">
        <f>IF(DAY(JanSun1)=1,IF(AND(YEAR(JanSun1+12)=カレンダーの年,MONTH(JanSun1+12)=1),JanSun1+12,""),IF(AND(YEAR(JanSun1+19)=カレンダーの年,MONTH(JanSun1+19)=1),JanSun1+19,""))</f>
        <v>44939</v>
      </c>
      <c r="G9" s="18">
        <f>IF(DAY(JanSun1)=1,IF(AND(YEAR(JanSun1+13)=カレンダーの年,MONTH(JanSun1+13)=1),JanSun1+13,""),IF(AND(YEAR(JanSun1+20)=カレンダーの年,MONTH(JanSun1+20)=1),JanSun1+20,""))</f>
        <v>44940</v>
      </c>
      <c r="H9" s="18">
        <f>IF(DAY(JanSun1)=1,IF(AND(YEAR(JanSun1+14)=カレンダーの年,MONTH(JanSun1+14)=1),JanSun1+14,""),IF(AND(YEAR(JanSun1+21)=カレンダーの年,MONTH(JanSun1+21)=1),JanSun1+21,""))</f>
        <v>44941</v>
      </c>
      <c r="I9" s="11"/>
    </row>
    <row r="10" spans="1:18" ht="85.15">
      <c r="A10" s="3"/>
      <c r="B10" s="13"/>
      <c r="C10" s="13"/>
      <c r="D10" s="13"/>
      <c r="E10" s="13"/>
      <c r="F10" s="13"/>
      <c r="G10" s="14" t="s">
        <v>57</v>
      </c>
      <c r="H10" s="14" t="s">
        <v>52</v>
      </c>
      <c r="I10" s="11"/>
    </row>
    <row r="11" spans="1:18" ht="15" customHeight="1">
      <c r="A11" s="3"/>
      <c r="B11" s="19">
        <f>IF(DAY(JanSun1)=1,IF(AND(YEAR(JanSun1+15)=カレンダーの年,MONTH(JanSun1+15)=1),JanSun1+15,""),IF(AND(YEAR(JanSun1+22)=カレンダーの年,MONTH(JanSun1+22)=1),JanSun1+22,""))</f>
        <v>44942</v>
      </c>
      <c r="C11" s="19">
        <f>IF(DAY(JanSun1)=1,IF(AND(YEAR(JanSun1+16)=カレンダーの年,MONTH(JanSun1+16)=1),JanSun1+16,""),IF(AND(YEAR(JanSun1+23)=カレンダーの年,MONTH(JanSun1+23)=1),JanSun1+23,""))</f>
        <v>44943</v>
      </c>
      <c r="D11" s="19">
        <f>IF(DAY(JanSun1)=1,IF(AND(YEAR(JanSun1+17)=カレンダーの年,MONTH(JanSun1+17)=1),JanSun1+17,""),IF(AND(YEAR(JanSun1+24)=カレンダーの年,MONTH(JanSun1+24)=1),JanSun1+24,""))</f>
        <v>44944</v>
      </c>
      <c r="E11" s="19">
        <f>IF(DAY(JanSun1)=1,IF(AND(YEAR(JanSun1+18)=カレンダーの年,MONTH(JanSun1+18)=1),JanSun1+18,""),IF(AND(YEAR(JanSun1+25)=カレンダーの年,MONTH(JanSun1+25)=1),JanSun1+25,""))</f>
        <v>44945</v>
      </c>
      <c r="F11" s="19">
        <f>IF(DAY(JanSun1)=1,IF(AND(YEAR(JanSun1+19)=カレンダーの年,MONTH(JanSun1+19)=1),JanSun1+19,""),IF(AND(YEAR(JanSun1+26)=カレンダーの年,MONTH(JanSun1+26)=1),JanSun1+26,""))</f>
        <v>44946</v>
      </c>
      <c r="G11" s="19">
        <f>IF(DAY(JanSun1)=1,IF(AND(YEAR(JanSun1+20)=カレンダーの年,MONTH(JanSun1+20)=1),JanSun1+20,""),IF(AND(YEAR(JanSun1+27)=カレンダーの年,MONTH(JanSun1+27)=1),JanSun1+27,""))</f>
        <v>44947</v>
      </c>
      <c r="H11" s="19">
        <f>IF(DAY(JanSun1)=1,IF(AND(YEAR(JanSun1+21)=カレンダーの年,MONTH(JanSun1+21)=1),JanSun1+21,""),IF(AND(YEAR(JanSun1+28)=カレンダーの年,MONTH(JanSun1+28)=1),JanSun1+28,""))</f>
        <v>44948</v>
      </c>
      <c r="I11" s="11"/>
    </row>
    <row r="12" spans="1:18" ht="66.75">
      <c r="A12" s="3"/>
      <c r="B12" s="16"/>
      <c r="C12" s="16"/>
      <c r="D12" s="16"/>
      <c r="E12" s="16"/>
      <c r="F12" s="16"/>
      <c r="G12" s="17"/>
      <c r="H12" s="17" t="s">
        <v>52</v>
      </c>
      <c r="I12" s="11"/>
    </row>
    <row r="13" spans="1:18" ht="15" customHeight="1">
      <c r="A13" s="3"/>
      <c r="B13" s="18">
        <f>IF(DAY(JanSun1)=1,IF(AND(YEAR(JanSun1+22)=カレンダーの年,MONTH(JanSun1+22)=1),JanSun1+22,""),IF(AND(YEAR(JanSun1+29)=カレンダーの年,MONTH(JanSun1+29)=1),JanSun1+29,""))</f>
        <v>44949</v>
      </c>
      <c r="C13" s="18">
        <f>IF(DAY(JanSun1)=1,IF(AND(YEAR(JanSun1+23)=カレンダーの年,MONTH(JanSun1+23)=1),JanSun1+23,""),IF(AND(YEAR(JanSun1+30)=カレンダーの年,MONTH(JanSun1+30)=1),JanSun1+30,""))</f>
        <v>44950</v>
      </c>
      <c r="D13" s="18">
        <f>IF(DAY(JanSun1)=1,IF(AND(YEAR(JanSun1+24)=カレンダーの年,MONTH(JanSun1+24)=1),JanSun1+24,""),IF(AND(YEAR(JanSun1+31)=カレンダーの年,MONTH(JanSun1+31)=1),JanSun1+31,""))</f>
        <v>44951</v>
      </c>
      <c r="E13" s="18">
        <f>IF(DAY(JanSun1)=1,IF(AND(YEAR(JanSun1+25)=カレンダーの年,MONTH(JanSun1+25)=1),JanSun1+25,""),IF(AND(YEAR(JanSun1+32)=カレンダーの年,MONTH(JanSun1+32)=1),JanSun1+32,""))</f>
        <v>44952</v>
      </c>
      <c r="F13" s="18">
        <f>IF(DAY(JanSun1)=1,IF(AND(YEAR(JanSun1+26)=カレンダーの年,MONTH(JanSun1+26)=1),JanSun1+26,""),IF(AND(YEAR(JanSun1+33)=カレンダーの年,MONTH(JanSun1+33)=1),JanSun1+33,""))</f>
        <v>44953</v>
      </c>
      <c r="G13" s="18">
        <f>IF(DAY(JanSun1)=1,IF(AND(YEAR(JanSun1+27)=カレンダーの年,MONTH(JanSun1+27)=1),JanSun1+27,""),IF(AND(YEAR(JanSun1+34)=カレンダーの年,MONTH(JanSun1+34)=1),JanSun1+34,""))</f>
        <v>44954</v>
      </c>
      <c r="H13" s="18">
        <f>IF(DAY(JanSun1)=1,IF(AND(YEAR(JanSun1+28)=カレンダーの年,MONTH(JanSun1+28)=1),JanSun1+28,""),IF(AND(YEAR(JanSun1+35)=カレンダーの年,MONTH(JanSun1+35)=1),JanSun1+35,""))</f>
        <v>44955</v>
      </c>
      <c r="I13" s="11"/>
    </row>
    <row r="14" spans="1:18" ht="85.15">
      <c r="A14" s="3"/>
      <c r="B14" s="13"/>
      <c r="C14" s="13"/>
      <c r="D14" s="13"/>
      <c r="E14" s="13"/>
      <c r="F14" s="13"/>
      <c r="G14" s="14" t="s">
        <v>57</v>
      </c>
      <c r="H14" s="14" t="s">
        <v>52</v>
      </c>
      <c r="I14" s="11"/>
    </row>
    <row r="15" spans="1:18" ht="15" customHeight="1">
      <c r="A15" s="3"/>
      <c r="B15" s="19">
        <f>IF(DAY(JanSun1)=1,IF(AND(YEAR(JanSun1+29)=カレンダーの年,MONTH(JanSun1+29)=1),JanSun1+29,""),IF(AND(YEAR(JanSun1+36)=カレンダーの年,MONTH(JanSun1+36)=1),JanSun1+36,""))</f>
        <v>44956</v>
      </c>
      <c r="C15" s="20">
        <f>IF(DAY(JanSun1)=1,IF(AND(YEAR(JanSun1+30)=カレンダーの年,MONTH(JanSun1+30)=1),JanSun1+30,""),IF(AND(YEAR(JanSun1+37)=カレンダーの年,MONTH(JanSun1+37)=1),JanSun1+37,""))</f>
        <v>44957</v>
      </c>
      <c r="D15" s="118" t="s">
        <v>8</v>
      </c>
      <c r="E15" s="119"/>
      <c r="F15" s="119"/>
      <c r="G15" s="119"/>
      <c r="H15" s="120"/>
      <c r="I15" s="11"/>
    </row>
    <row r="16" spans="1:18" ht="64.5" customHeight="1">
      <c r="A16" s="3"/>
      <c r="B16" s="16"/>
      <c r="C16" s="16"/>
      <c r="D16" s="115" t="s">
        <v>63</v>
      </c>
      <c r="E16" s="116"/>
      <c r="F16" s="116"/>
      <c r="G16" s="116"/>
      <c r="H16" s="117"/>
      <c r="I16" s="11"/>
    </row>
    <row r="17" spans="3:5" ht="17.25" customHeight="1"/>
    <row r="19" spans="3:5" ht="21" customHeight="1">
      <c r="C19" s="21"/>
      <c r="D19" s="22"/>
      <c r="E19" s="23"/>
    </row>
    <row r="20" spans="3:5" ht="19.5" customHeight="1"/>
  </sheetData>
  <mergeCells count="3">
    <mergeCell ref="D16:H16"/>
    <mergeCell ref="D15:H15"/>
    <mergeCell ref="B3:F3"/>
  </mergeCells>
  <phoneticPr fontId="6"/>
  <printOptions horizontalCentered="1" verticalCentered="1"/>
  <pageMargins left="0.2" right="0.2" top="0.25" bottom="0.25" header="0" footer="0"/>
  <pageSetup scale="93" orientation="landscape" r:id="rId1"/>
  <headerFooter scaleWithDoc="0" alignWithMargins="0"/>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6" r:id="rId5" name="スピン ボタン 2">
              <controlPr defaultSize="0" autoPict="0" altText="スピン コントロールです。スピン ボタンを使用して、カレンダーの年を変更するか、セル L2 に適切な年を入力します。">
                <anchor moveWithCells="1">
                  <from>
                    <xdr:col>10</xdr:col>
                    <xdr:colOff>1047750</xdr:colOff>
                    <xdr:row>1</xdr:row>
                    <xdr:rowOff>90488</xdr:rowOff>
                  </from>
                  <to>
                    <xdr:col>11</xdr:col>
                    <xdr:colOff>114300</xdr:colOff>
                    <xdr:row>1</xdr:row>
                    <xdr:rowOff>319088</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34998626667073579"/>
    <pageSetUpPr fitToPage="1"/>
  </sheetPr>
  <dimension ref="A1:R20"/>
  <sheetViews>
    <sheetView showGridLines="0" zoomScale="80" zoomScaleNormal="80" workbookViewId="0">
      <selection activeCell="M12" sqref="M12"/>
    </sheetView>
  </sheetViews>
  <sheetFormatPr defaultColWidth="6.6640625" defaultRowHeight="15"/>
  <cols>
    <col min="1" max="1" width="3.0546875" style="1" customWidth="1"/>
    <col min="2" max="6" width="11.21875" style="1" customWidth="1"/>
    <col min="7" max="8" width="21.05468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55</v>
      </c>
      <c r="C2" s="24" t="s">
        <v>62</v>
      </c>
      <c r="D2" s="4"/>
      <c r="E2" s="4"/>
      <c r="F2" s="4"/>
      <c r="G2" s="4"/>
      <c r="H2" s="4"/>
      <c r="I2" s="4"/>
      <c r="J2" s="4"/>
    </row>
    <row r="3" spans="1:18" ht="62.25" customHeight="1">
      <c r="A3" s="3"/>
      <c r="B3" s="121" t="str">
        <f>UPPER(TEXT(DATE(カレンダーの年,2,1),"yyyy年m月"))</f>
        <v>2023年2月</v>
      </c>
      <c r="C3" s="121"/>
      <c r="D3" s="121"/>
      <c r="E3" s="121"/>
      <c r="F3" s="121"/>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IF(DAY(FebSun1)=1,"",IF(AND(YEAR(FebSun1+1)=カレンダーの年,MONTH(FebSun1+1)=2),FebSun1+1,""))</f>
        <v/>
      </c>
      <c r="C5" s="10" t="str">
        <f>IF(DAY(FebSun1)=1,"",IF(AND(YEAR(FebSun1+2)=カレンダーの年,MONTH(FebSun1+2)=2),FebSun1+2,""))</f>
        <v/>
      </c>
      <c r="D5" s="10">
        <f>IF(DAY(FebSun1)=1,"",IF(AND(YEAR(FebSun1+3)=カレンダーの年,MONTH(FebSun1+3)=2),FebSun1+3,""))</f>
        <v>44958</v>
      </c>
      <c r="E5" s="10">
        <f>IF(DAY(FebSun1)=1,"",IF(AND(YEAR(FebSun1+4)=カレンダーの年,MONTH(FebSun1+4)=2),FebSun1+4,""))</f>
        <v>44959</v>
      </c>
      <c r="F5" s="10">
        <f>IF(DAY(FebSun1)=1,"",IF(AND(YEAR(FebSun1+5)=カレンダーの年,MONTH(FebSun1+5)=2),FebSun1+5,""))</f>
        <v>44960</v>
      </c>
      <c r="G5" s="10">
        <f>IF(DAY(FebSun1)=1,"",IF(AND(YEAR(FebSun1+6)=カレンダーの年,MONTH(FebSun1+6)=2),FebSun1+6,""))</f>
        <v>44961</v>
      </c>
      <c r="H5" s="10">
        <f>IF(DAY(FebSun1)=1,IF(AND(YEAR(FebSun1)=カレンダーの年,MONTH(FebSun1)=2),FebSun1,""),IF(AND(YEAR(FebSun1+7)=カレンダーの年,MONTH(FebSun1+7)=2),FebSun1+7,""))</f>
        <v>44962</v>
      </c>
      <c r="I5" s="11"/>
      <c r="K5" s="1"/>
      <c r="L5" s="1"/>
      <c r="M5" s="1"/>
      <c r="Q5" s="12"/>
      <c r="R5" s="1"/>
    </row>
    <row r="6" spans="1:18" s="12" customFormat="1" ht="64.5" customHeight="1">
      <c r="A6" s="3"/>
      <c r="B6" s="13"/>
      <c r="C6" s="13"/>
      <c r="D6" s="13"/>
      <c r="E6" s="13"/>
      <c r="F6" s="13"/>
      <c r="G6" s="25"/>
      <c r="H6" s="49" t="s">
        <v>84</v>
      </c>
      <c r="I6" s="11"/>
    </row>
    <row r="7" spans="1:18" ht="15" customHeight="1">
      <c r="A7" s="3"/>
      <c r="B7" s="15">
        <f>IF(DAY(FebSun1)=1,IF(AND(YEAR(FebSun1+1)=カレンダーの年,MONTH(FebSun1+1)=2),FebSun1+1,""),IF(AND(YEAR(FebSun1+8)=カレンダーの年,MONTH(FebSun1+8)=2),FebSun1+8,""))</f>
        <v>44963</v>
      </c>
      <c r="C7" s="15">
        <f>IF(DAY(FebSun1)=1,IF(AND(YEAR(FebSun1+2)=カレンダーの年,MONTH(FebSun1+2)=2),FebSun1+2,""),IF(AND(YEAR(FebSun1+9)=カレンダーの年,MONTH(FebSun1+9)=2),FebSun1+9,""))</f>
        <v>44964</v>
      </c>
      <c r="D7" s="15">
        <f>IF(DAY(FebSun1)=1,IF(AND(YEAR(FebSun1+3)=カレンダーの年,MONTH(FebSun1+3)=2),FebSun1+3,""),IF(AND(YEAR(FebSun1+10)=カレンダーの年,MONTH(FebSun1+10)=2),FebSun1+10,""))</f>
        <v>44965</v>
      </c>
      <c r="E7" s="15">
        <f>IF(DAY(FebSun1)=1,IF(AND(YEAR(FebSun1+4)=カレンダーの年,MONTH(FebSun1+4)=2),FebSun1+4,""),IF(AND(YEAR(FebSun1+11)=カレンダーの年,MONTH(FebSun1+11)=2),FebSun1+11,""))</f>
        <v>44966</v>
      </c>
      <c r="F7" s="15">
        <f>IF(DAY(FebSun1)=1,IF(AND(YEAR(FebSun1+5)=カレンダーの年,MONTH(FebSun1+5)=2),FebSun1+5,""),IF(AND(YEAR(FebSun1+12)=カレンダーの年,MONTH(FebSun1+12)=2),FebSun1+12,""))</f>
        <v>44967</v>
      </c>
      <c r="G7" s="15">
        <f>IF(DAY(FebSun1)=1,IF(AND(YEAR(FebSun1+6)=カレンダーの年,MONTH(FebSun1+6)=2),FebSun1+6,""),IF(AND(YEAR(FebSun1+13)=カレンダーの年,MONTH(FebSun1+13)=2),FebSun1+13,""))</f>
        <v>44968</v>
      </c>
      <c r="H7" s="15">
        <f>IF(DAY(FebSun1)=1,IF(AND(YEAR(FebSun1+7)=カレンダーの年,MONTH(FebSun1+7)=2),FebSun1+7,""),IF(AND(YEAR(FebSun1+14)=カレンダーの年,MONTH(FebSun1+14)=2),FebSun1+14,""))</f>
        <v>44969</v>
      </c>
      <c r="I7" s="11"/>
    </row>
    <row r="8" spans="1:18" ht="66.75">
      <c r="A8" s="3"/>
      <c r="B8" s="16"/>
      <c r="C8" s="16"/>
      <c r="D8" s="16"/>
      <c r="E8" s="16"/>
      <c r="F8" s="16"/>
      <c r="G8" s="26"/>
      <c r="H8" s="48" t="s">
        <v>84</v>
      </c>
      <c r="I8" s="11"/>
    </row>
    <row r="9" spans="1:18" ht="15" customHeight="1">
      <c r="A9" s="3"/>
      <c r="B9" s="18">
        <f>IF(DAY(FebSun1)=1,IF(AND(YEAR(FebSun1+8)=カレンダーの年,MONTH(FebSun1+8)=2),FebSun1+8,""),IF(AND(YEAR(FebSun1+15)=カレンダーの年,MONTH(FebSun1+15)=2),FebSun1+15,""))</f>
        <v>44970</v>
      </c>
      <c r="C9" s="18">
        <f>IF(DAY(FebSun1)=1,IF(AND(YEAR(FebSun1+9)=カレンダーの年,MONTH(FebSun1+9)=2),FebSun1+9,""),IF(AND(YEAR(FebSun1+16)=カレンダーの年,MONTH(FebSun1+16)=2),FebSun1+16,""))</f>
        <v>44971</v>
      </c>
      <c r="D9" s="18">
        <f>IF(DAY(FebSun1)=1,IF(AND(YEAR(FebSun1+10)=カレンダーの年,MONTH(FebSun1+10)=2),FebSun1+10,""),IF(AND(YEAR(FebSun1+17)=カレンダーの年,MONTH(FebSun1+17)=2),FebSun1+17,""))</f>
        <v>44972</v>
      </c>
      <c r="E9" s="18">
        <f>IF(DAY(FebSun1)=1,IF(AND(YEAR(FebSun1+11)=カレンダーの年,MONTH(FebSun1+11)=2),FebSun1+11,""),IF(AND(YEAR(FebSun1+18)=カレンダーの年,MONTH(FebSun1+18)=2),FebSun1+18,""))</f>
        <v>44973</v>
      </c>
      <c r="F9" s="18">
        <f>IF(DAY(FebSun1)=1,IF(AND(YEAR(FebSun1+12)=カレンダーの年,MONTH(FebSun1+12)=2),FebSun1+12,""),IF(AND(YEAR(FebSun1+19)=カレンダーの年,MONTH(FebSun1+19)=2),FebSun1+19,""))</f>
        <v>44974</v>
      </c>
      <c r="G9" s="18">
        <f>IF(DAY(FebSun1)=1,IF(AND(YEAR(FebSun1+13)=カレンダーの年,MONTH(FebSun1+13)=2),FebSun1+13,""),IF(AND(YEAR(FebSun1+20)=カレンダーの年,MONTH(FebSun1+20)=2),FebSun1+20,""))</f>
        <v>44975</v>
      </c>
      <c r="H9" s="18">
        <f>IF(DAY(FebSun1)=1,IF(AND(YEAR(FebSun1+14)=カレンダーの年,MONTH(FebSun1+14)=2),FebSun1+14,""),IF(AND(YEAR(FebSun1+21)=カレンダーの年,MONTH(FebSun1+21)=2),FebSun1+21,""))</f>
        <v>44976</v>
      </c>
      <c r="I9" s="11"/>
    </row>
    <row r="10" spans="1:18" ht="64.5" customHeight="1">
      <c r="A10" s="3"/>
      <c r="B10" s="13"/>
      <c r="C10" s="13"/>
      <c r="D10" s="13"/>
      <c r="E10" s="13"/>
      <c r="F10" s="13"/>
      <c r="G10" s="79" t="s">
        <v>88</v>
      </c>
      <c r="H10" s="14"/>
      <c r="I10" s="11"/>
    </row>
    <row r="11" spans="1:18" ht="15" customHeight="1">
      <c r="A11" s="3"/>
      <c r="B11" s="19">
        <f>IF(DAY(FebSun1)=1,IF(AND(YEAR(FebSun1+15)=カレンダーの年,MONTH(FebSun1+15)=2),FebSun1+15,""),IF(AND(YEAR(FebSun1+22)=カレンダーの年,MONTH(FebSun1+22)=2),FebSun1+22,""))</f>
        <v>44977</v>
      </c>
      <c r="C11" s="19">
        <f>IF(DAY(FebSun1)=1,IF(AND(YEAR(FebSun1+16)=カレンダーの年,MONTH(FebSun1+16)=2),FebSun1+16,""),IF(AND(YEAR(FebSun1+23)=カレンダーの年,MONTH(FebSun1+23)=2),FebSun1+23,""))</f>
        <v>44978</v>
      </c>
      <c r="D11" s="19">
        <f>IF(DAY(FebSun1)=1,IF(AND(YEAR(FebSun1+17)=カレンダーの年,MONTH(FebSun1+17)=2),FebSun1+17,""),IF(AND(YEAR(FebSun1+24)=カレンダーの年,MONTH(FebSun1+24)=2),FebSun1+24,""))</f>
        <v>44979</v>
      </c>
      <c r="E11" s="19">
        <f>IF(DAY(FebSun1)=1,IF(AND(YEAR(FebSun1+18)=カレンダーの年,MONTH(FebSun1+18)=2),FebSun1+18,""),IF(AND(YEAR(FebSun1+25)=カレンダーの年,MONTH(FebSun1+25)=2),FebSun1+25,""))</f>
        <v>44980</v>
      </c>
      <c r="F11" s="19">
        <f>IF(DAY(FebSun1)=1,IF(AND(YEAR(FebSun1+19)=カレンダーの年,MONTH(FebSun1+19)=2),FebSun1+19,""),IF(AND(YEAR(FebSun1+26)=カレンダーの年,MONTH(FebSun1+26)=2),FebSun1+26,""))</f>
        <v>44981</v>
      </c>
      <c r="G11" s="19">
        <f>IF(DAY(FebSun1)=1,IF(AND(YEAR(FebSun1+20)=カレンダーの年,MONTH(FebSun1+20)=2),FebSun1+20,""),IF(AND(YEAR(FebSun1+27)=カレンダーの年,MONTH(FebSun1+27)=2),FebSun1+27,""))</f>
        <v>44982</v>
      </c>
      <c r="H11" s="19">
        <f>IF(DAY(FebSun1)=1,IF(AND(YEAR(FebSun1+21)=カレンダーの年,MONTH(FebSun1+21)=2),FebSun1+21,""),IF(AND(YEAR(FebSun1+28)=カレンダーの年,MONTH(FebSun1+28)=2),FebSun1+28,""))</f>
        <v>44983</v>
      </c>
      <c r="I11" s="11"/>
    </row>
    <row r="12" spans="1:18" ht="64.5" customHeight="1">
      <c r="A12" s="3"/>
      <c r="B12" s="16"/>
      <c r="C12" s="16"/>
      <c r="D12" s="16"/>
      <c r="E12" s="16"/>
      <c r="F12" s="16"/>
      <c r="G12" s="17"/>
      <c r="H12" s="48" t="s">
        <v>84</v>
      </c>
      <c r="I12" s="11"/>
    </row>
    <row r="13" spans="1:18" ht="15" customHeight="1">
      <c r="A13" s="3"/>
      <c r="B13" s="18">
        <f>IF(DAY(FebSun1)=1,IF(AND(YEAR(FebSun1+22)=カレンダーの年,MONTH(FebSun1+22)=2),FebSun1+22,""),IF(AND(YEAR(FebSun1+29)=カレンダーの年,MONTH(FebSun1+29)=2),FebSun1+29,""))</f>
        <v>44984</v>
      </c>
      <c r="C13" s="18">
        <f>IF(DAY(FebSun1)=1,IF(AND(YEAR(FebSun1+23)=カレンダーの年,MONTH(FebSun1+23)=2),FebSun1+23,""),IF(AND(YEAR(FebSun1+30)=カレンダーの年,MONTH(FebSun1+30)=2),FebSun1+30,""))</f>
        <v>44985</v>
      </c>
      <c r="D13" s="18" t="str">
        <f>IF(DAY(FebSun1)=1,IF(AND(YEAR(FebSun1+24)=カレンダーの年,MONTH(FebSun1+24)=2),FebSun1+24,""),IF(AND(YEAR(FebSun1+31)=カレンダーの年,MONTH(FebSun1+31)=2),FebSun1+31,""))</f>
        <v/>
      </c>
      <c r="E13" s="18" t="str">
        <f>IF(DAY(FebSun1)=1,IF(AND(YEAR(FebSun1+25)=カレンダーの年,MONTH(FebSun1+25)=2),FebSun1+25,""),IF(AND(YEAR(FebSun1+32)=カレンダーの年,MONTH(FebSun1+32)=2),FebSun1+32,""))</f>
        <v/>
      </c>
      <c r="F13" s="18" t="str">
        <f>IF(DAY(FebSun1)=1,IF(AND(YEAR(FebSun1+26)=カレンダーの年,MONTH(FebSun1+26)=2),FebSun1+26,""),IF(AND(YEAR(FebSun1+33)=カレンダーの年,MONTH(FebSun1+33)=2),FebSun1+33,""))</f>
        <v/>
      </c>
      <c r="G13" s="18" t="str">
        <f>IF(DAY(FebSun1)=1,IF(AND(YEAR(FebSun1+27)=カレンダーの年,MONTH(FebSun1+27)=2),FebSun1+27,""),IF(AND(YEAR(FebSun1+34)=カレンダーの年,MONTH(FebSun1+34)=2),FebSun1+34,""))</f>
        <v/>
      </c>
      <c r="H13" s="18" t="str">
        <f>IF(DAY(FebSun1)=1,IF(AND(YEAR(FebSun1+28)=カレンダーの年,MONTH(FebSun1+28)=2),FebSun1+28,""),IF(AND(YEAR(FebSun1+35)=カレンダーの年,MONTH(FebSun1+35)=2),FebSun1+35,""))</f>
        <v/>
      </c>
      <c r="I13" s="11"/>
    </row>
    <row r="14" spans="1:18" ht="64.5" customHeight="1">
      <c r="A14" s="3"/>
      <c r="B14" s="13"/>
      <c r="C14" s="13"/>
      <c r="D14" s="13"/>
      <c r="E14" s="13"/>
      <c r="F14" s="13"/>
      <c r="G14" s="14"/>
      <c r="H14" s="14"/>
      <c r="I14" s="11"/>
    </row>
    <row r="15" spans="1:18" ht="15" customHeight="1">
      <c r="A15" s="3"/>
      <c r="B15" s="19" t="str">
        <f>IF(DAY(FebSun1)=1,IF(AND(YEAR(FebSun1+29)=カレンダーの年,MONTH(FebSun1+29)=2),FebSun1+29,""),IF(AND(YEAR(FebSun1+36)=カレンダーの年,MONTH(FebSun1+36)=2),FebSun1+36,""))</f>
        <v/>
      </c>
      <c r="C15" s="20" t="str">
        <f>IF(DAY(FebSun1)=1,IF(AND(YEAR(FebSun1+30)=カレンダーの年,MONTH(FebSun1+30)=2),FebSun1+30,""),IF(AND(YEAR(FebSun1+37)=カレンダーの年,MONTH(FebSun1+37)=2),FebSun1+37,""))</f>
        <v/>
      </c>
      <c r="D15" s="118" t="s">
        <v>8</v>
      </c>
      <c r="E15" s="119"/>
      <c r="F15" s="119"/>
      <c r="G15" s="119"/>
      <c r="H15" s="120"/>
      <c r="I15" s="11"/>
    </row>
    <row r="16" spans="1:18" ht="64.5" customHeight="1">
      <c r="A16" s="3"/>
      <c r="B16" s="16"/>
      <c r="C16" s="16"/>
      <c r="D16" s="115" t="s">
        <v>63</v>
      </c>
      <c r="E16" s="116"/>
      <c r="F16" s="116"/>
      <c r="G16" s="116"/>
      <c r="H16" s="117"/>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249977111117893"/>
    <pageSetUpPr fitToPage="1"/>
  </sheetPr>
  <dimension ref="A1:R20"/>
  <sheetViews>
    <sheetView showGridLines="0" zoomScale="80" zoomScaleNormal="80" workbookViewId="0">
      <selection activeCell="D16" sqref="D16:H16"/>
    </sheetView>
  </sheetViews>
  <sheetFormatPr defaultColWidth="6.6640625" defaultRowHeight="15"/>
  <cols>
    <col min="1" max="1" width="3.0546875" style="1" customWidth="1"/>
    <col min="2" max="2" width="10.6640625" style="1" customWidth="1"/>
    <col min="3" max="3" width="14.33203125" style="1" customWidth="1"/>
    <col min="4" max="6" width="10.6640625" style="1" customWidth="1"/>
    <col min="7" max="8" width="19.05468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55</v>
      </c>
      <c r="C2" s="24" t="s">
        <v>86</v>
      </c>
      <c r="D2" s="4"/>
      <c r="E2" s="4"/>
      <c r="F2" s="4"/>
      <c r="G2" s="4"/>
      <c r="H2" s="4"/>
      <c r="I2" s="4"/>
      <c r="J2" s="4"/>
    </row>
    <row r="3" spans="1:18" ht="62.25" customHeight="1">
      <c r="A3" s="3"/>
      <c r="B3" s="121" t="str">
        <f>UPPER(TEXT(DATE(カレンダーの年,3,1),"yyyy年m月"))</f>
        <v>2023年3月</v>
      </c>
      <c r="C3" s="121"/>
      <c r="D3" s="121"/>
      <c r="E3" s="121"/>
      <c r="F3" s="121"/>
      <c r="G3" s="78"/>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IF(DAY(MarSun1)=1,"",IF(AND(YEAR(MarSun1+1)=カレンダーの年,MONTH(MarSun1+1)=3),MarSun1+1,""))</f>
        <v/>
      </c>
      <c r="C5" s="10" t="str">
        <f>IF(DAY(MarSun1)=1,"",IF(AND(YEAR(MarSun1+2)=カレンダーの年,MONTH(MarSun1+2)=3),MarSun1+2,""))</f>
        <v/>
      </c>
      <c r="D5" s="10">
        <f>IF(DAY(MarSun1)=1,"",IF(AND(YEAR(MarSun1+3)=カレンダーの年,MONTH(MarSun1+3)=3),MarSun1+3,""))</f>
        <v>44986</v>
      </c>
      <c r="E5" s="10">
        <f>IF(DAY(MarSun1)=1,"",IF(AND(YEAR(MarSun1+4)=カレンダーの年,MONTH(MarSun1+4)=3),MarSun1+4,""))</f>
        <v>44987</v>
      </c>
      <c r="F5" s="10">
        <f>IF(DAY(MarSun1)=1,"",IF(AND(YEAR(MarSun1+5)=カレンダーの年,MONTH(MarSun1+5)=3),MarSun1+5,""))</f>
        <v>44988</v>
      </c>
      <c r="G5" s="10">
        <f>IF(DAY(MarSun1)=1,"",IF(AND(YEAR(MarSun1+6)=カレンダーの年,MONTH(MarSun1+6)=3),MarSun1+6,""))</f>
        <v>44989</v>
      </c>
      <c r="H5" s="10">
        <f>IF(DAY(MarSun1)=1,IF(AND(YEAR(MarSun1)=カレンダーの年,MONTH(MarSun1)=3),MarSun1,""),IF(AND(YEAR(MarSun1+7)=カレンダーの年,MONTH(MarSun1+7)=3),MarSun1+7,""))</f>
        <v>44990</v>
      </c>
      <c r="I5" s="11"/>
      <c r="K5" s="1"/>
      <c r="L5" s="1"/>
      <c r="M5" s="1"/>
      <c r="Q5" s="12"/>
      <c r="R5" s="1"/>
    </row>
    <row r="6" spans="1:18" s="12" customFormat="1" ht="66.75">
      <c r="A6" s="3"/>
      <c r="B6" s="13"/>
      <c r="C6" s="13"/>
      <c r="D6" s="13"/>
      <c r="E6" s="13"/>
      <c r="F6" s="13"/>
      <c r="G6" s="14"/>
      <c r="H6" s="79" t="s">
        <v>88</v>
      </c>
      <c r="I6" s="11"/>
    </row>
    <row r="7" spans="1:18" ht="15" customHeight="1">
      <c r="A7" s="3"/>
      <c r="B7" s="15">
        <f>IF(DAY(MarSun1)=1,IF(AND(YEAR(MarSun1+1)=カレンダーの年,MONTH(MarSun1+1)=3),MarSun1+1,""),IF(AND(YEAR(MarSun1+8)=カレンダーの年,MONTH(MarSun1+8)=3),MarSun1+8,""))</f>
        <v>44991</v>
      </c>
      <c r="C7" s="15">
        <f>IF(DAY(MarSun1)=1,IF(AND(YEAR(MarSun1+2)=カレンダーの年,MONTH(MarSun1+2)=3),MarSun1+2,""),IF(AND(YEAR(MarSun1+9)=カレンダーの年,MONTH(MarSun1+9)=3),MarSun1+9,""))</f>
        <v>44992</v>
      </c>
      <c r="D7" s="15">
        <f>IF(DAY(MarSun1)=1,IF(AND(YEAR(MarSun1+3)=カレンダーの年,MONTH(MarSun1+3)=3),MarSun1+3,""),IF(AND(YEAR(MarSun1+10)=カレンダーの年,MONTH(MarSun1+10)=3),MarSun1+10,""))</f>
        <v>44993</v>
      </c>
      <c r="E7" s="15">
        <f>IF(DAY(MarSun1)=1,IF(AND(YEAR(MarSun1+4)=カレンダーの年,MONTH(MarSun1+4)=3),MarSun1+4,""),IF(AND(YEAR(MarSun1+11)=カレンダーの年,MONTH(MarSun1+11)=3),MarSun1+11,""))</f>
        <v>44994</v>
      </c>
      <c r="F7" s="15">
        <f>IF(DAY(MarSun1)=1,IF(AND(YEAR(MarSun1+5)=カレンダーの年,MONTH(MarSun1+5)=3),MarSun1+5,""),IF(AND(YEAR(MarSun1+12)=カレンダーの年,MONTH(MarSun1+12)=3),MarSun1+12,""))</f>
        <v>44995</v>
      </c>
      <c r="G7" s="15">
        <f>IF(DAY(MarSun1)=1,IF(AND(YEAR(MarSun1+6)=カレンダーの年,MONTH(MarSun1+6)=3),MarSun1+6,""),IF(AND(YEAR(MarSun1+13)=カレンダーの年,MONTH(MarSun1+13)=3),MarSun1+13,""))</f>
        <v>44996</v>
      </c>
      <c r="H7" s="15">
        <f>IF(DAY(MarSun1)=1,IF(AND(YEAR(MarSun1+7)=カレンダーの年,MONTH(MarSun1+7)=3),MarSun1+7,""),IF(AND(YEAR(MarSun1+14)=カレンダーの年,MONTH(MarSun1+14)=3),MarSun1+14,""))</f>
        <v>44997</v>
      </c>
      <c r="I7" s="11"/>
    </row>
    <row r="8" spans="1:18" ht="66.75">
      <c r="A8" s="3"/>
      <c r="B8" s="16"/>
      <c r="C8" s="16"/>
      <c r="D8" s="16"/>
      <c r="E8" s="16"/>
      <c r="F8" s="16"/>
      <c r="G8" s="17"/>
      <c r="H8" s="17" t="s">
        <v>84</v>
      </c>
      <c r="I8" s="11"/>
    </row>
    <row r="9" spans="1:18" ht="15" customHeight="1">
      <c r="A9" s="3"/>
      <c r="B9" s="18">
        <f>IF(DAY(MarSun1)=1,IF(AND(YEAR(MarSun1+8)=カレンダーの年,MONTH(MarSun1+8)=3),MarSun1+8,""),IF(AND(YEAR(MarSun1+15)=カレンダーの年,MONTH(MarSun1+15)=3),MarSun1+15,""))</f>
        <v>44998</v>
      </c>
      <c r="C9" s="18">
        <f>IF(DAY(MarSun1)=1,IF(AND(YEAR(MarSun1+9)=カレンダーの年,MONTH(MarSun1+9)=3),MarSun1+9,""),IF(AND(YEAR(MarSun1+16)=カレンダーの年,MONTH(MarSun1+16)=3),MarSun1+16,""))</f>
        <v>44999</v>
      </c>
      <c r="D9" s="18">
        <f>IF(DAY(MarSun1)=1,IF(AND(YEAR(MarSun1+10)=カレンダーの年,MONTH(MarSun1+10)=3),MarSun1+10,""),IF(AND(YEAR(MarSun1+17)=カレンダーの年,MONTH(MarSun1+17)=3),MarSun1+17,""))</f>
        <v>45000</v>
      </c>
      <c r="E9" s="18">
        <f>IF(DAY(MarSun1)=1,IF(AND(YEAR(MarSun1+11)=カレンダーの年,MONTH(MarSun1+11)=3),MarSun1+11,""),IF(AND(YEAR(MarSun1+18)=カレンダーの年,MONTH(MarSun1+18)=3),MarSun1+18,""))</f>
        <v>45001</v>
      </c>
      <c r="F9" s="18">
        <f>IF(DAY(MarSun1)=1,IF(AND(YEAR(MarSun1+12)=カレンダーの年,MONTH(MarSun1+12)=3),MarSun1+12,""),IF(AND(YEAR(MarSun1+19)=カレンダーの年,MONTH(MarSun1+19)=3),MarSun1+19,""))</f>
        <v>45002</v>
      </c>
      <c r="G9" s="18">
        <f>IF(DAY(MarSun1)=1,IF(AND(YEAR(MarSun1+13)=カレンダーの年,MONTH(MarSun1+13)=3),MarSun1+13,""),IF(AND(YEAR(MarSun1+20)=カレンダーの年,MONTH(MarSun1+20)=3),MarSun1+20,""))</f>
        <v>45003</v>
      </c>
      <c r="H9" s="18">
        <f>IF(DAY(MarSun1)=1,IF(AND(YEAR(MarSun1+14)=カレンダーの年,MONTH(MarSun1+14)=3),MarSun1+14,""),IF(AND(YEAR(MarSun1+21)=カレンダーの年,MONTH(MarSun1+21)=3),MarSun1+21,""))</f>
        <v>45004</v>
      </c>
      <c r="I9" s="11"/>
    </row>
    <row r="10" spans="1:18" ht="64.5" customHeight="1">
      <c r="A10" s="3"/>
      <c r="B10" s="13"/>
      <c r="C10" s="13"/>
      <c r="D10" s="13"/>
      <c r="E10" s="13"/>
      <c r="F10" s="13"/>
      <c r="G10" s="14"/>
      <c r="H10" s="14"/>
      <c r="I10" s="11"/>
    </row>
    <row r="11" spans="1:18" ht="15" customHeight="1">
      <c r="A11" s="3"/>
      <c r="B11" s="19">
        <f>IF(DAY(MarSun1)=1,IF(AND(YEAR(MarSun1+15)=カレンダーの年,MONTH(MarSun1+15)=3),MarSun1+15,""),IF(AND(YEAR(MarSun1+22)=カレンダーの年,MONTH(MarSun1+22)=3),MarSun1+22,""))</f>
        <v>45005</v>
      </c>
      <c r="C11" s="19">
        <f>IF(DAY(MarSun1)=1,IF(AND(YEAR(MarSun1+16)=カレンダーの年,MONTH(MarSun1+16)=3),MarSun1+16,""),IF(AND(YEAR(MarSun1+23)=カレンダーの年,MONTH(MarSun1+23)=3),MarSun1+23,""))</f>
        <v>45006</v>
      </c>
      <c r="D11" s="19">
        <f>IF(DAY(MarSun1)=1,IF(AND(YEAR(MarSun1+17)=カレンダーの年,MONTH(MarSun1+17)=3),MarSun1+17,""),IF(AND(YEAR(MarSun1+24)=カレンダーの年,MONTH(MarSun1+24)=3),MarSun1+24,""))</f>
        <v>45007</v>
      </c>
      <c r="E11" s="19">
        <f>IF(DAY(MarSun1)=1,IF(AND(YEAR(MarSun1+18)=カレンダーの年,MONTH(MarSun1+18)=3),MarSun1+18,""),IF(AND(YEAR(MarSun1+25)=カレンダーの年,MONTH(MarSun1+25)=3),MarSun1+25,""))</f>
        <v>45008</v>
      </c>
      <c r="F11" s="19">
        <f>IF(DAY(MarSun1)=1,IF(AND(YEAR(MarSun1+19)=カレンダーの年,MONTH(MarSun1+19)=3),MarSun1+19,""),IF(AND(YEAR(MarSun1+26)=カレンダーの年,MONTH(MarSun1+26)=3),MarSun1+26,""))</f>
        <v>45009</v>
      </c>
      <c r="G11" s="19">
        <f>IF(DAY(MarSun1)=1,IF(AND(YEAR(MarSun1+20)=カレンダーの年,MONTH(MarSun1+20)=3),MarSun1+20,""),IF(AND(YEAR(MarSun1+27)=カレンダーの年,MONTH(MarSun1+27)=3),MarSun1+27,""))</f>
        <v>45010</v>
      </c>
      <c r="H11" s="19">
        <f>IF(DAY(MarSun1)=1,IF(AND(YEAR(MarSun1+21)=カレンダーの年,MONTH(MarSun1+21)=3),MarSun1+21,""),IF(AND(YEAR(MarSun1+28)=カレンダーの年,MONTH(MarSun1+28)=3),MarSun1+28,""))</f>
        <v>45011</v>
      </c>
      <c r="I11" s="11"/>
    </row>
    <row r="12" spans="1:18" ht="66.75">
      <c r="A12" s="3"/>
      <c r="B12" s="16"/>
      <c r="C12" s="77" t="s">
        <v>89</v>
      </c>
      <c r="D12" s="16"/>
      <c r="E12" s="16"/>
      <c r="F12" s="16"/>
      <c r="G12" s="48" t="s">
        <v>85</v>
      </c>
      <c r="H12" s="17" t="s">
        <v>84</v>
      </c>
      <c r="I12" s="11"/>
    </row>
    <row r="13" spans="1:18" ht="15" customHeight="1">
      <c r="A13" s="3"/>
      <c r="B13" s="18">
        <f>IF(DAY(MarSun1)=1,IF(AND(YEAR(MarSun1+22)=カレンダーの年,MONTH(MarSun1+22)=3),MarSun1+22,""),IF(AND(YEAR(MarSun1+29)=カレンダーの年,MONTH(MarSun1+29)=3),MarSun1+29,""))</f>
        <v>45012</v>
      </c>
      <c r="C13" s="18">
        <f>IF(DAY(MarSun1)=1,IF(AND(YEAR(MarSun1+23)=カレンダーの年,MONTH(MarSun1+23)=3),MarSun1+23,""),IF(AND(YEAR(MarSun1+30)=カレンダーの年,MONTH(MarSun1+30)=3),MarSun1+30,""))</f>
        <v>45013</v>
      </c>
      <c r="D13" s="18">
        <f>IF(DAY(MarSun1)=1,IF(AND(YEAR(MarSun1+24)=カレンダーの年,MONTH(MarSun1+24)=3),MarSun1+24,""),IF(AND(YEAR(MarSun1+31)=カレンダーの年,MONTH(MarSun1+31)=3),MarSun1+31,""))</f>
        <v>45014</v>
      </c>
      <c r="E13" s="18">
        <f>IF(DAY(MarSun1)=1,IF(AND(YEAR(MarSun1+25)=カレンダーの年,MONTH(MarSun1+25)=3),MarSun1+25,""),IF(AND(YEAR(MarSun1+32)=カレンダーの年,MONTH(MarSun1+32)=3),MarSun1+32,""))</f>
        <v>45015</v>
      </c>
      <c r="F13" s="18">
        <f>IF(DAY(MarSun1)=1,IF(AND(YEAR(MarSun1+26)=カレンダーの年,MONTH(MarSun1+26)=3),MarSun1+26,""),IF(AND(YEAR(MarSun1+33)=カレンダーの年,MONTH(MarSun1+33)=3),MarSun1+33,""))</f>
        <v>45016</v>
      </c>
      <c r="G13" s="18" t="str">
        <f>IF(DAY(MarSun1)=1,IF(AND(YEAR(MarSun1+27)=カレンダーの年,MONTH(MarSun1+27)=3),MarSun1+27,""),IF(AND(YEAR(MarSun1+34)=カレンダーの年,MONTH(MarSun1+34)=3),MarSun1+34,""))</f>
        <v/>
      </c>
      <c r="H13" s="18" t="str">
        <f>IF(DAY(MarSun1)=1,IF(AND(YEAR(MarSun1+28)=カレンダーの年,MONTH(MarSun1+28)=3),MarSun1+28,""),IF(AND(YEAR(MarSun1+35)=カレンダーの年,MONTH(MarSun1+35)=3),MarSun1+35,""))</f>
        <v/>
      </c>
      <c r="I13" s="11"/>
    </row>
    <row r="14" spans="1:18" ht="64.5" customHeight="1">
      <c r="A14" s="3"/>
      <c r="B14" s="13"/>
      <c r="C14" s="13"/>
      <c r="D14" s="13"/>
      <c r="E14" s="13"/>
      <c r="F14" s="13"/>
      <c r="G14" s="14"/>
      <c r="H14" s="14"/>
      <c r="I14" s="11"/>
    </row>
    <row r="15" spans="1:18" ht="15" customHeight="1">
      <c r="A15" s="3"/>
      <c r="B15" s="19" t="str">
        <f>IF(DAY(MarSun1)=1,IF(AND(YEAR(MarSun1+29)=カレンダーの年,MONTH(MarSun1+29)=3),MarSun1+29,""),IF(AND(YEAR(MarSun1+36)=カレンダーの年,MONTH(MarSun1+36)=3),MarSun1+36,""))</f>
        <v/>
      </c>
      <c r="C15" s="20" t="str">
        <f>IF(DAY(MarSun1)=1,IF(AND(YEAR(MarSun1+30)=カレンダーの年,MONTH(MarSun1+30)=3),MarSun1+30,""),IF(AND(YEAR(MarSun1+37)=カレンダーの年,MONTH(MarSun1+37)=3),MarSun1+37,""))</f>
        <v/>
      </c>
      <c r="D15" s="118" t="s">
        <v>8</v>
      </c>
      <c r="E15" s="119"/>
      <c r="F15" s="119"/>
      <c r="G15" s="119"/>
      <c r="H15" s="120"/>
      <c r="I15" s="11"/>
    </row>
    <row r="16" spans="1:18" ht="64.5" customHeight="1">
      <c r="A16" s="3"/>
      <c r="B16" s="16"/>
      <c r="C16" s="16"/>
      <c r="D16" s="115" t="s">
        <v>87</v>
      </c>
      <c r="E16" s="116"/>
      <c r="F16" s="116"/>
      <c r="G16" s="116"/>
      <c r="H16" s="117"/>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14999847407452621"/>
    <pageSetUpPr fitToPage="1"/>
  </sheetPr>
  <dimension ref="A1:R20"/>
  <sheetViews>
    <sheetView showGridLines="0" zoomScale="80" zoomScaleNormal="80" workbookViewId="0">
      <selection activeCell="C2" sqref="C2"/>
    </sheetView>
  </sheetViews>
  <sheetFormatPr defaultColWidth="6.6640625" defaultRowHeight="15"/>
  <cols>
    <col min="1" max="1" width="3.0546875" style="1" customWidth="1"/>
    <col min="2" max="6" width="11.21875" style="1" customWidth="1"/>
    <col min="7" max="8" width="21.164062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55</v>
      </c>
      <c r="C2" s="24" t="s">
        <v>86</v>
      </c>
      <c r="D2" s="4"/>
      <c r="E2" s="4"/>
      <c r="F2" s="4"/>
      <c r="G2" s="4"/>
      <c r="H2" s="4"/>
      <c r="I2" s="4"/>
      <c r="J2" s="4"/>
    </row>
    <row r="3" spans="1:18" ht="62.25" customHeight="1">
      <c r="A3" s="3"/>
      <c r="B3" s="121" t="str">
        <f>UPPER(TEXT(DATE(カレンダーの年,4,1),"yyyy年m月"))</f>
        <v>2023年4月</v>
      </c>
      <c r="C3" s="121"/>
      <c r="D3" s="121"/>
      <c r="E3" s="121"/>
      <c r="F3" s="121"/>
    </row>
    <row r="4" spans="1:18" s="3" customFormat="1" ht="26.25" customHeight="1">
      <c r="B4" s="6" t="s">
        <v>9</v>
      </c>
      <c r="C4" s="7" t="s">
        <v>0</v>
      </c>
      <c r="D4" s="7" t="s">
        <v>1</v>
      </c>
      <c r="E4" s="7" t="s">
        <v>2</v>
      </c>
      <c r="F4" s="7" t="s">
        <v>3</v>
      </c>
      <c r="G4" s="7" t="s">
        <v>4</v>
      </c>
      <c r="H4" s="8" t="s">
        <v>5</v>
      </c>
      <c r="I4" s="1"/>
      <c r="J4" s="1"/>
      <c r="L4" s="1"/>
      <c r="M4" s="9"/>
      <c r="Q4" s="1"/>
      <c r="R4" s="1"/>
    </row>
    <row r="5" spans="1:18" s="3" customFormat="1" ht="15" customHeight="1">
      <c r="B5" s="10" t="str">
        <f>IF(DAY(AprSun1)=1,"",IF(AND(YEAR(AprSun1+1)=カレンダーの年,MONTH(AprSun1+1)=4),AprSun1+1,""))</f>
        <v/>
      </c>
      <c r="C5" s="10" t="str">
        <f>IF(DAY(AprSun1)=1,"",IF(AND(YEAR(AprSun1+2)=カレンダーの年,MONTH(AprSun1+2)=4),AprSun1+2,""))</f>
        <v/>
      </c>
      <c r="D5" s="10" t="str">
        <f>IF(DAY(AprSun1)=1,"",IF(AND(YEAR(AprSun1+3)=カレンダーの年,MONTH(AprSun1+3)=4),AprSun1+3,""))</f>
        <v/>
      </c>
      <c r="E5" s="10" t="str">
        <f>IF(DAY(AprSun1)=1,"",IF(AND(YEAR(AprSun1+4)=カレンダーの年,MONTH(AprSun1+4)=4),AprSun1+4,""))</f>
        <v/>
      </c>
      <c r="F5" s="10" t="str">
        <f>IF(DAY(AprSun1)=1,"",IF(AND(YEAR(AprSun1+5)=カレンダーの年,MONTH(AprSun1+5)=4),AprSun1+5,""))</f>
        <v/>
      </c>
      <c r="G5" s="10">
        <f>IF(DAY(AprSun1)=1,"",IF(AND(YEAR(AprSun1+6)=カレンダーの年,MONTH(AprSun1+6)=4),AprSun1+6,""))</f>
        <v>45017</v>
      </c>
      <c r="H5" s="10">
        <f>IF(DAY(AprSun1)=1,IF(AND(YEAR(AprSun1)=カレンダーの年,MONTH(AprSun1)=4),AprSun1,""),IF(AND(YEAR(AprSun1+7)=カレンダーの年,MONTH(AprSun1+7)=4),AprSun1+7,""))</f>
        <v>45018</v>
      </c>
      <c r="I5" s="11"/>
      <c r="K5" s="1"/>
      <c r="L5" s="1"/>
      <c r="M5" s="1"/>
      <c r="Q5" s="12"/>
      <c r="R5" s="1"/>
    </row>
    <row r="6" spans="1:18" s="12" customFormat="1" ht="64.5" customHeight="1">
      <c r="A6" s="3"/>
      <c r="B6" s="13"/>
      <c r="C6" s="13"/>
      <c r="D6" s="13"/>
      <c r="E6" s="13"/>
      <c r="F6" s="13"/>
      <c r="G6" s="49" t="s">
        <v>90</v>
      </c>
      <c r="H6" s="14" t="s">
        <v>84</v>
      </c>
      <c r="I6" s="11"/>
    </row>
    <row r="7" spans="1:18" ht="15" customHeight="1">
      <c r="A7" s="3"/>
      <c r="B7" s="15">
        <f>IF(DAY(AprSun1)=1,IF(AND(YEAR(AprSun1+1)=カレンダーの年,MONTH(AprSun1+1)=4),AprSun1+1,""),IF(AND(YEAR(AprSun1+8)=カレンダーの年,MONTH(AprSun1+8)=4),AprSun1+8,""))</f>
        <v>45019</v>
      </c>
      <c r="C7" s="15">
        <f>IF(DAY(AprSun1)=1,IF(AND(YEAR(AprSun1+2)=カレンダーの年,MONTH(AprSun1+2)=4),AprSun1+2,""),IF(AND(YEAR(AprSun1+9)=カレンダーの年,MONTH(AprSun1+9)=4),AprSun1+9,""))</f>
        <v>45020</v>
      </c>
      <c r="D7" s="15">
        <f>IF(DAY(AprSun1)=1,IF(AND(YEAR(AprSun1+3)=カレンダーの年,MONTH(AprSun1+3)=4),AprSun1+3,""),IF(AND(YEAR(AprSun1+10)=カレンダーの年,MONTH(AprSun1+10)=4),AprSun1+10,""))</f>
        <v>45021</v>
      </c>
      <c r="E7" s="15">
        <f>IF(DAY(AprSun1)=1,IF(AND(YEAR(AprSun1+4)=カレンダーの年,MONTH(AprSun1+4)=4),AprSun1+4,""),IF(AND(YEAR(AprSun1+11)=カレンダーの年,MONTH(AprSun1+11)=4),AprSun1+11,""))</f>
        <v>45022</v>
      </c>
      <c r="F7" s="15">
        <f>IF(DAY(AprSun1)=1,IF(AND(YEAR(AprSun1+5)=カレンダーの年,MONTH(AprSun1+5)=4),AprSun1+5,""),IF(AND(YEAR(AprSun1+12)=カレンダーの年,MONTH(AprSun1+12)=4),AprSun1+12,""))</f>
        <v>45023</v>
      </c>
      <c r="G7" s="15">
        <f>IF(DAY(AprSun1)=1,IF(AND(YEAR(AprSun1+6)=カレンダーの年,MONTH(AprSun1+6)=4),AprSun1+6,""),IF(AND(YEAR(AprSun1+13)=カレンダーの年,MONTH(AprSun1+13)=4),AprSun1+13,""))</f>
        <v>45024</v>
      </c>
      <c r="H7" s="15">
        <f>IF(DAY(AprSun1)=1,IF(AND(YEAR(AprSun1+7)=カレンダーの年,MONTH(AprSun1+7)=4),AprSun1+7,""),IF(AND(YEAR(AprSun1+14)=カレンダーの年,MONTH(AprSun1+14)=4),AprSun1+14,""))</f>
        <v>45025</v>
      </c>
      <c r="I7" s="11"/>
    </row>
    <row r="8" spans="1:18" ht="64.5" customHeight="1">
      <c r="A8" s="3"/>
      <c r="B8" s="16"/>
      <c r="C8" s="16"/>
      <c r="D8" s="16"/>
      <c r="E8" s="16"/>
      <c r="F8" s="16"/>
      <c r="G8" s="26" t="s">
        <v>92</v>
      </c>
      <c r="H8" s="26" t="s">
        <v>84</v>
      </c>
      <c r="I8" s="11"/>
    </row>
    <row r="9" spans="1:18" ht="15" customHeight="1">
      <c r="A9" s="3"/>
      <c r="B9" s="18">
        <f>IF(DAY(AprSun1)=1,IF(AND(YEAR(AprSun1+8)=カレンダーの年,MONTH(AprSun1+8)=4),AprSun1+8,""),IF(AND(YEAR(AprSun1+15)=カレンダーの年,MONTH(AprSun1+15)=4),AprSun1+15,""))</f>
        <v>45026</v>
      </c>
      <c r="C9" s="18">
        <f>IF(DAY(AprSun1)=1,IF(AND(YEAR(AprSun1+9)=カレンダーの年,MONTH(AprSun1+9)=4),AprSun1+9,""),IF(AND(YEAR(AprSun1+16)=カレンダーの年,MONTH(AprSun1+16)=4),AprSun1+16,""))</f>
        <v>45027</v>
      </c>
      <c r="D9" s="18">
        <f>IF(DAY(AprSun1)=1,IF(AND(YEAR(AprSun1+10)=カレンダーの年,MONTH(AprSun1+10)=4),AprSun1+10,""),IF(AND(YEAR(AprSun1+17)=カレンダーの年,MONTH(AprSun1+17)=4),AprSun1+17,""))</f>
        <v>45028</v>
      </c>
      <c r="E9" s="18">
        <f>IF(DAY(AprSun1)=1,IF(AND(YEAR(AprSun1+11)=カレンダーの年,MONTH(AprSun1+11)=4),AprSun1+11,""),IF(AND(YEAR(AprSun1+18)=カレンダーの年,MONTH(AprSun1+18)=4),AprSun1+18,""))</f>
        <v>45029</v>
      </c>
      <c r="F9" s="18">
        <f>IF(DAY(AprSun1)=1,IF(AND(YEAR(AprSun1+12)=カレンダーの年,MONTH(AprSun1+12)=4),AprSun1+12,""),IF(AND(YEAR(AprSun1+19)=カレンダーの年,MONTH(AprSun1+19)=4),AprSun1+19,""))</f>
        <v>45030</v>
      </c>
      <c r="G9" s="18">
        <f>IF(DAY(AprSun1)=1,IF(AND(YEAR(AprSun1+13)=カレンダーの年,MONTH(AprSun1+13)=4),AprSun1+13,""),IF(AND(YEAR(AprSun1+20)=カレンダーの年,MONTH(AprSun1+20)=4),AprSun1+20,""))</f>
        <v>45031</v>
      </c>
      <c r="H9" s="18">
        <f>IF(DAY(AprSun1)=1,IF(AND(YEAR(AprSun1+14)=カレンダーの年,MONTH(AprSun1+14)=4),AprSun1+14,""),IF(AND(YEAR(AprSun1+21)=カレンダーの年,MONTH(AprSun1+21)=4),AprSun1+21,""))</f>
        <v>45032</v>
      </c>
      <c r="I9" s="11"/>
    </row>
    <row r="10" spans="1:18" ht="64.5" customHeight="1">
      <c r="A10" s="3"/>
      <c r="B10" s="13"/>
      <c r="C10" s="13"/>
      <c r="D10" s="13"/>
      <c r="E10" s="13"/>
      <c r="F10" s="13"/>
      <c r="G10" s="25"/>
      <c r="H10" s="25" t="s">
        <v>84</v>
      </c>
      <c r="I10" s="11"/>
    </row>
    <row r="11" spans="1:18" ht="15" customHeight="1">
      <c r="A11" s="3"/>
      <c r="B11" s="19">
        <f>IF(DAY(AprSun1)=1,IF(AND(YEAR(AprSun1+15)=カレンダーの年,MONTH(AprSun1+15)=4),AprSun1+15,""),IF(AND(YEAR(AprSun1+22)=カレンダーの年,MONTH(AprSun1+22)=4),AprSun1+22,""))</f>
        <v>45033</v>
      </c>
      <c r="C11" s="19">
        <f>IF(DAY(AprSun1)=1,IF(AND(YEAR(AprSun1+16)=カレンダーの年,MONTH(AprSun1+16)=4),AprSun1+16,""),IF(AND(YEAR(AprSun1+23)=カレンダーの年,MONTH(AprSun1+23)=4),AprSun1+23,""))</f>
        <v>45034</v>
      </c>
      <c r="D11" s="19">
        <f>IF(DAY(AprSun1)=1,IF(AND(YEAR(AprSun1+17)=カレンダーの年,MONTH(AprSun1+17)=4),AprSun1+17,""),IF(AND(YEAR(AprSun1+24)=カレンダーの年,MONTH(AprSun1+24)=4),AprSun1+24,""))</f>
        <v>45035</v>
      </c>
      <c r="E11" s="19">
        <f>IF(DAY(AprSun1)=1,IF(AND(YEAR(AprSun1+18)=カレンダーの年,MONTH(AprSun1+18)=4),AprSun1+18,""),IF(AND(YEAR(AprSun1+25)=カレンダーの年,MONTH(AprSun1+25)=4),AprSun1+25,""))</f>
        <v>45036</v>
      </c>
      <c r="F11" s="19">
        <f>IF(DAY(AprSun1)=1,IF(AND(YEAR(AprSun1+19)=カレンダーの年,MONTH(AprSun1+19)=4),AprSun1+19,""),IF(AND(YEAR(AprSun1+26)=カレンダーの年,MONTH(AprSun1+26)=4),AprSun1+26,""))</f>
        <v>45037</v>
      </c>
      <c r="G11" s="19">
        <f>IF(DAY(AprSun1)=1,IF(AND(YEAR(AprSun1+20)=カレンダーの年,MONTH(AprSun1+20)=4),AprSun1+20,""),IF(AND(YEAR(AprSun1+27)=カレンダーの年,MONTH(AprSun1+27)=4),AprSun1+27,""))</f>
        <v>45038</v>
      </c>
      <c r="H11" s="19">
        <f>IF(DAY(AprSun1)=1,IF(AND(YEAR(AprSun1+21)=カレンダーの年,MONTH(AprSun1+21)=4),AprSun1+21,""),IF(AND(YEAR(AprSun1+28)=カレンダーの年,MONTH(AprSun1+28)=4),AprSun1+28,""))</f>
        <v>45039</v>
      </c>
      <c r="I11" s="11"/>
    </row>
    <row r="12" spans="1:18" ht="64.5" customHeight="1">
      <c r="A12" s="3"/>
      <c r="B12" s="16"/>
      <c r="C12" s="16"/>
      <c r="D12" s="16"/>
      <c r="E12" s="16"/>
      <c r="F12" s="16"/>
      <c r="G12" s="26" t="s">
        <v>93</v>
      </c>
      <c r="H12" s="26" t="s">
        <v>84</v>
      </c>
      <c r="I12" s="11"/>
    </row>
    <row r="13" spans="1:18" ht="15" customHeight="1">
      <c r="A13" s="3"/>
      <c r="B13" s="18">
        <f>IF(DAY(AprSun1)=1,IF(AND(YEAR(AprSun1+22)=カレンダーの年,MONTH(AprSun1+22)=4),AprSun1+22,""),IF(AND(YEAR(AprSun1+29)=カレンダーの年,MONTH(AprSun1+29)=4),AprSun1+29,""))</f>
        <v>45040</v>
      </c>
      <c r="C13" s="18">
        <f>IF(DAY(AprSun1)=1,IF(AND(YEAR(AprSun1+23)=カレンダーの年,MONTH(AprSun1+23)=4),AprSun1+23,""),IF(AND(YEAR(AprSun1+30)=カレンダーの年,MONTH(AprSun1+30)=4),AprSun1+30,""))</f>
        <v>45041</v>
      </c>
      <c r="D13" s="18">
        <f>IF(DAY(AprSun1)=1,IF(AND(YEAR(AprSun1+24)=カレンダーの年,MONTH(AprSun1+24)=4),AprSun1+24,""),IF(AND(YEAR(AprSun1+31)=カレンダーの年,MONTH(AprSun1+31)=4),AprSun1+31,""))</f>
        <v>45042</v>
      </c>
      <c r="E13" s="18">
        <f>IF(DAY(AprSun1)=1,IF(AND(YEAR(AprSun1+25)=カレンダーの年,MONTH(AprSun1+25)=4),AprSun1+25,""),IF(AND(YEAR(AprSun1+32)=カレンダーの年,MONTH(AprSun1+32)=4),AprSun1+32,""))</f>
        <v>45043</v>
      </c>
      <c r="F13" s="18">
        <f>IF(DAY(AprSun1)=1,IF(AND(YEAR(AprSun1+26)=カレンダーの年,MONTH(AprSun1+26)=4),AprSun1+26,""),IF(AND(YEAR(AprSun1+33)=カレンダーの年,MONTH(AprSun1+33)=4),AprSun1+33,""))</f>
        <v>45044</v>
      </c>
      <c r="G13" s="18">
        <f>IF(DAY(AprSun1)=1,IF(AND(YEAR(AprSun1+27)=カレンダーの年,MONTH(AprSun1+27)=4),AprSun1+27,""),IF(AND(YEAR(AprSun1+34)=カレンダーの年,MONTH(AprSun1+34)=4),AprSun1+34,""))</f>
        <v>45045</v>
      </c>
      <c r="H13" s="18">
        <f>IF(DAY(AprSun1)=1,IF(AND(YEAR(AprSun1+28)=カレンダーの年,MONTH(AprSun1+28)=4),AprSun1+28,""),IF(AND(YEAR(AprSun1+35)=カレンダーの年,MONTH(AprSun1+35)=4),AprSun1+35,""))</f>
        <v>45046</v>
      </c>
      <c r="I13" s="11"/>
    </row>
    <row r="14" spans="1:18" ht="64.5" customHeight="1">
      <c r="A14" s="3"/>
      <c r="B14" s="13"/>
      <c r="C14" s="13"/>
      <c r="D14" s="13"/>
      <c r="E14" s="13"/>
      <c r="F14" s="13"/>
      <c r="G14" s="25" t="s">
        <v>93</v>
      </c>
      <c r="H14" s="14"/>
      <c r="I14" s="11"/>
    </row>
    <row r="15" spans="1:18" ht="15" customHeight="1">
      <c r="A15" s="3"/>
      <c r="B15" s="19" t="str">
        <f>IF(DAY(AprSun1)=1,IF(AND(YEAR(AprSun1+29)=カレンダーの年,MONTH(AprSun1+29)=4),AprSun1+29,""),IF(AND(YEAR(AprSun1+36)=カレンダーの年,MONTH(AprSun1+36)=4),AprSun1+36,""))</f>
        <v/>
      </c>
      <c r="C15" s="20" t="str">
        <f>IF(DAY(AprSun1)=1,IF(AND(YEAR(AprSun1+30)=カレンダーの年,MONTH(AprSun1+30)=4),AprSun1+30,""),IF(AND(YEAR(AprSun1+37)=カレンダーの年,MONTH(AprSun1+37)=4),AprSun1+37,""))</f>
        <v/>
      </c>
      <c r="D15" s="118" t="s">
        <v>8</v>
      </c>
      <c r="E15" s="119"/>
      <c r="F15" s="119"/>
      <c r="G15" s="119"/>
      <c r="H15" s="120"/>
      <c r="I15" s="11"/>
    </row>
    <row r="16" spans="1:18" ht="64.5" customHeight="1">
      <c r="A16" s="3"/>
      <c r="B16" s="16"/>
      <c r="C16" s="16"/>
      <c r="D16" s="115" t="s">
        <v>91</v>
      </c>
      <c r="E16" s="116"/>
      <c r="F16" s="116"/>
      <c r="G16" s="116"/>
      <c r="H16" s="117"/>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4.9989318521683403E-2"/>
    <pageSetUpPr fitToPage="1"/>
  </sheetPr>
  <dimension ref="A1:R20"/>
  <sheetViews>
    <sheetView showGridLines="0" zoomScale="80" zoomScaleNormal="80" workbookViewId="0">
      <selection activeCell="H6" sqref="H6"/>
    </sheetView>
  </sheetViews>
  <sheetFormatPr defaultColWidth="6.6640625" defaultRowHeight="15"/>
  <cols>
    <col min="1" max="1" width="3.0546875" style="1" customWidth="1"/>
    <col min="2" max="6" width="11.109375" style="1" customWidth="1"/>
    <col min="7" max="8" width="20.218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10</v>
      </c>
      <c r="C2" s="24" t="s">
        <v>94</v>
      </c>
      <c r="D2" s="24"/>
      <c r="E2" s="24"/>
      <c r="F2" s="24"/>
      <c r="G2" s="24"/>
      <c r="H2" s="24"/>
      <c r="I2" s="24"/>
      <c r="J2" s="24"/>
    </row>
    <row r="3" spans="1:18" ht="62.25" customHeight="1">
      <c r="A3" s="3"/>
      <c r="B3" s="121" t="str">
        <f>UPPER(TEXT(DATE(カレンダーの年,5,1),"yyyy年m月"))</f>
        <v>2023年5月</v>
      </c>
      <c r="C3" s="121"/>
      <c r="D3" s="121"/>
      <c r="E3" s="121"/>
      <c r="F3" s="121"/>
      <c r="G3" s="80"/>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f>IF(DAY(MaySun1)=1,"",IF(AND(YEAR(MaySun1+1)=カレンダーの年,MONTH(MaySun1+1)=5),MaySun1+1,""))</f>
        <v>45047</v>
      </c>
      <c r="C5" s="10">
        <f>IF(DAY(MaySun1)=1,"",IF(AND(YEAR(MaySun1+2)=カレンダーの年,MONTH(MaySun1+2)=5),MaySun1+2,""))</f>
        <v>45048</v>
      </c>
      <c r="D5" s="10">
        <f>IF(DAY(MaySun1)=1,"",IF(AND(YEAR(MaySun1+3)=カレンダーの年,MONTH(MaySun1+3)=5),MaySun1+3,""))</f>
        <v>45049</v>
      </c>
      <c r="E5" s="10">
        <f>IF(DAY(MaySun1)=1,"",IF(AND(YEAR(MaySun1+4)=カレンダーの年,MONTH(MaySun1+4)=5),MaySun1+4,""))</f>
        <v>45050</v>
      </c>
      <c r="F5" s="10">
        <f>IF(DAY(MaySun1)=1,"",IF(AND(YEAR(MaySun1+5)=カレンダーの年,MONTH(MaySun1+5)=5),MaySun1+5,""))</f>
        <v>45051</v>
      </c>
      <c r="G5" s="10">
        <f>IF(DAY(MaySun1)=1,"",IF(AND(YEAR(MaySun1+6)=カレンダーの年,MONTH(MaySun1+6)=5),MaySun1+6,""))</f>
        <v>45052</v>
      </c>
      <c r="H5" s="10">
        <f>IF(DAY(MaySun1)=1,IF(AND(YEAR(MaySun1)=カレンダーの年,MONTH(MaySun1)=5),MaySun1,""),IF(AND(YEAR(MaySun1+7)=カレンダーの年,MONTH(MaySun1+7)=5),MaySun1+7,""))</f>
        <v>45053</v>
      </c>
      <c r="I5" s="11"/>
      <c r="K5" s="1"/>
      <c r="L5" s="1"/>
      <c r="M5" s="1"/>
      <c r="Q5" s="12"/>
      <c r="R5" s="1"/>
    </row>
    <row r="6" spans="1:18" s="12" customFormat="1" ht="64.5" customHeight="1">
      <c r="A6" s="3"/>
      <c r="B6" s="13"/>
      <c r="C6" s="13"/>
      <c r="D6" s="13"/>
      <c r="E6" s="13"/>
      <c r="F6" s="13"/>
      <c r="G6" s="14"/>
      <c r="H6" s="14" t="s">
        <v>84</v>
      </c>
      <c r="I6" s="11"/>
    </row>
    <row r="7" spans="1:18" ht="15" customHeight="1">
      <c r="A7" s="3"/>
      <c r="B7" s="15">
        <f>IF(DAY(MaySun1)=1,IF(AND(YEAR(MaySun1+1)=カレンダーの年,MONTH(MaySun1+1)=5),MaySun1+1,""),IF(AND(YEAR(MaySun1+8)=カレンダーの年,MONTH(MaySun1+8)=5),MaySun1+8,""))</f>
        <v>45054</v>
      </c>
      <c r="C7" s="15">
        <f>IF(DAY(MaySun1)=1,IF(AND(YEAR(MaySun1+2)=カレンダーの年,MONTH(MaySun1+2)=5),MaySun1+2,""),IF(AND(YEAR(MaySun1+9)=カレンダーの年,MONTH(MaySun1+9)=5),MaySun1+9,""))</f>
        <v>45055</v>
      </c>
      <c r="D7" s="15">
        <f>IF(DAY(MaySun1)=1,IF(AND(YEAR(MaySun1+3)=カレンダーの年,MONTH(MaySun1+3)=5),MaySun1+3,""),IF(AND(YEAR(MaySun1+10)=カレンダーの年,MONTH(MaySun1+10)=5),MaySun1+10,""))</f>
        <v>45056</v>
      </c>
      <c r="E7" s="15">
        <f>IF(DAY(MaySun1)=1,IF(AND(YEAR(MaySun1+4)=カレンダーの年,MONTH(MaySun1+4)=5),MaySun1+4,""),IF(AND(YEAR(MaySun1+11)=カレンダーの年,MONTH(MaySun1+11)=5),MaySun1+11,""))</f>
        <v>45057</v>
      </c>
      <c r="F7" s="15">
        <f>IF(DAY(MaySun1)=1,IF(AND(YEAR(MaySun1+5)=カレンダーの年,MONTH(MaySun1+5)=5),MaySun1+5,""),IF(AND(YEAR(MaySun1+12)=カレンダーの年,MONTH(MaySun1+12)=5),MaySun1+12,""))</f>
        <v>45058</v>
      </c>
      <c r="G7" s="15">
        <f>IF(DAY(MaySun1)=1,IF(AND(YEAR(MaySun1+6)=カレンダーの年,MONTH(MaySun1+6)=5),MaySun1+6,""),IF(AND(YEAR(MaySun1+13)=カレンダーの年,MONTH(MaySun1+13)=5),MaySun1+13,""))</f>
        <v>45059</v>
      </c>
      <c r="H7" s="15">
        <f>IF(DAY(MaySun1)=1,IF(AND(YEAR(MaySun1+7)=カレンダーの年,MONTH(MaySun1+7)=5),MaySun1+7,""),IF(AND(YEAR(MaySun1+14)=カレンダーの年,MONTH(MaySun1+14)=5),MaySun1+14,""))</f>
        <v>45060</v>
      </c>
      <c r="I7" s="11"/>
    </row>
    <row r="8" spans="1:18" ht="64.5" customHeight="1">
      <c r="A8" s="3"/>
      <c r="B8" s="16"/>
      <c r="C8" s="16"/>
      <c r="D8" s="16"/>
      <c r="E8" s="16"/>
      <c r="F8" s="16"/>
      <c r="G8" s="26"/>
      <c r="H8" s="26" t="s">
        <v>84</v>
      </c>
      <c r="I8" s="11"/>
    </row>
    <row r="9" spans="1:18" ht="15" customHeight="1">
      <c r="A9" s="3"/>
      <c r="B9" s="18">
        <f>IF(DAY(MaySun1)=1,IF(AND(YEAR(MaySun1+8)=カレンダーの年,MONTH(MaySun1+8)=5),MaySun1+8,""),IF(AND(YEAR(MaySun1+15)=カレンダーの年,MONTH(MaySun1+15)=5),MaySun1+15,""))</f>
        <v>45061</v>
      </c>
      <c r="C9" s="18">
        <f>IF(DAY(MaySun1)=1,IF(AND(YEAR(MaySun1+9)=カレンダーの年,MONTH(MaySun1+9)=5),MaySun1+9,""),IF(AND(YEAR(MaySun1+16)=カレンダーの年,MONTH(MaySun1+16)=5),MaySun1+16,""))</f>
        <v>45062</v>
      </c>
      <c r="D9" s="18">
        <f>IF(DAY(MaySun1)=1,IF(AND(YEAR(MaySun1+10)=カレンダーの年,MONTH(MaySun1+10)=5),MaySun1+10,""),IF(AND(YEAR(MaySun1+17)=カレンダーの年,MONTH(MaySun1+17)=5),MaySun1+17,""))</f>
        <v>45063</v>
      </c>
      <c r="E9" s="18">
        <f>IF(DAY(MaySun1)=1,IF(AND(YEAR(MaySun1+11)=カレンダーの年,MONTH(MaySun1+11)=5),MaySun1+11,""),IF(AND(YEAR(MaySun1+18)=カレンダーの年,MONTH(MaySun1+18)=5),MaySun1+18,""))</f>
        <v>45064</v>
      </c>
      <c r="F9" s="18">
        <f>IF(DAY(MaySun1)=1,IF(AND(YEAR(MaySun1+12)=カレンダーの年,MONTH(MaySun1+12)=5),MaySun1+12,""),IF(AND(YEAR(MaySun1+19)=カレンダーの年,MONTH(MaySun1+19)=5),MaySun1+19,""))</f>
        <v>45065</v>
      </c>
      <c r="G9" s="18">
        <f>IF(DAY(MaySun1)=1,IF(AND(YEAR(MaySun1+13)=カレンダーの年,MONTH(MaySun1+13)=5),MaySun1+13,""),IF(AND(YEAR(MaySun1+20)=カレンダーの年,MONTH(MaySun1+20)=5),MaySun1+20,""))</f>
        <v>45066</v>
      </c>
      <c r="H9" s="18">
        <f>IF(DAY(MaySun1)=1,IF(AND(YEAR(MaySun1+14)=カレンダーの年,MONTH(MaySun1+14)=5),MaySun1+14,""),IF(AND(YEAR(MaySun1+21)=カレンダーの年,MONTH(MaySun1+21)=5),MaySun1+21,""))</f>
        <v>45067</v>
      </c>
      <c r="I9" s="11"/>
    </row>
    <row r="10" spans="1:18" ht="66.75">
      <c r="A10" s="3"/>
      <c r="B10" s="13"/>
      <c r="C10" s="13"/>
      <c r="D10" s="13"/>
      <c r="E10" s="13"/>
      <c r="F10" s="13"/>
      <c r="G10" s="25"/>
      <c r="H10" s="25" t="s">
        <v>84</v>
      </c>
      <c r="I10" s="11"/>
    </row>
    <row r="11" spans="1:18" ht="15" customHeight="1">
      <c r="A11" s="3"/>
      <c r="B11" s="19">
        <f>IF(DAY(MaySun1)=1,IF(AND(YEAR(MaySun1+15)=カレンダーの年,MONTH(MaySun1+15)=5),MaySun1+15,""),IF(AND(YEAR(MaySun1+22)=カレンダーの年,MONTH(MaySun1+22)=5),MaySun1+22,""))</f>
        <v>45068</v>
      </c>
      <c r="C11" s="19">
        <f>IF(DAY(MaySun1)=1,IF(AND(YEAR(MaySun1+16)=カレンダーの年,MONTH(MaySun1+16)=5),MaySun1+16,""),IF(AND(YEAR(MaySun1+23)=カレンダーの年,MONTH(MaySun1+23)=5),MaySun1+23,""))</f>
        <v>45069</v>
      </c>
      <c r="D11" s="19">
        <f>IF(DAY(MaySun1)=1,IF(AND(YEAR(MaySun1+17)=カレンダーの年,MONTH(MaySun1+17)=5),MaySun1+17,""),IF(AND(YEAR(MaySun1+24)=カレンダーの年,MONTH(MaySun1+24)=5),MaySun1+24,""))</f>
        <v>45070</v>
      </c>
      <c r="E11" s="19">
        <f>IF(DAY(MaySun1)=1,IF(AND(YEAR(MaySun1+18)=カレンダーの年,MONTH(MaySun1+18)=5),MaySun1+18,""),IF(AND(YEAR(MaySun1+25)=カレンダーの年,MONTH(MaySun1+25)=5),MaySun1+25,""))</f>
        <v>45071</v>
      </c>
      <c r="F11" s="19">
        <f>IF(DAY(MaySun1)=1,IF(AND(YEAR(MaySun1+19)=カレンダーの年,MONTH(MaySun1+19)=5),MaySun1+19,""),IF(AND(YEAR(MaySun1+26)=カレンダーの年,MONTH(MaySun1+26)=5),MaySun1+26,""))</f>
        <v>45072</v>
      </c>
      <c r="G11" s="19">
        <f>IF(DAY(MaySun1)=1,IF(AND(YEAR(MaySun1+20)=カレンダーの年,MONTH(MaySun1+20)=5),MaySun1+20,""),IF(AND(YEAR(MaySun1+27)=カレンダーの年,MONTH(MaySun1+27)=5),MaySun1+27,""))</f>
        <v>45073</v>
      </c>
      <c r="H11" s="19">
        <f>IF(DAY(MaySun1)=1,IF(AND(YEAR(MaySun1+21)=カレンダーの年,MONTH(MaySun1+21)=5),MaySun1+21,""),IF(AND(YEAR(MaySun1+28)=カレンダーの年,MONTH(MaySun1+28)=5),MaySun1+28,""))</f>
        <v>45074</v>
      </c>
      <c r="I11" s="11"/>
    </row>
    <row r="12" spans="1:18" ht="86.25" customHeight="1">
      <c r="A12" s="3"/>
      <c r="B12" s="16"/>
      <c r="C12" s="16"/>
      <c r="D12" s="16"/>
      <c r="E12" s="16"/>
      <c r="F12" s="16"/>
      <c r="G12" s="48" t="s">
        <v>110</v>
      </c>
      <c r="H12" s="85" t="s">
        <v>111</v>
      </c>
      <c r="I12" s="11"/>
    </row>
    <row r="13" spans="1:18" ht="15" customHeight="1">
      <c r="A13" s="3"/>
      <c r="B13" s="18">
        <f>IF(DAY(MaySun1)=1,IF(AND(YEAR(MaySun1+22)=カレンダーの年,MONTH(MaySun1+22)=5),MaySun1+22,""),IF(AND(YEAR(MaySun1+29)=カレンダーの年,MONTH(MaySun1+29)=5),MaySun1+29,""))</f>
        <v>45075</v>
      </c>
      <c r="C13" s="18">
        <f>IF(DAY(MaySun1)=1,IF(AND(YEAR(MaySun1+23)=カレンダーの年,MONTH(MaySun1+23)=5),MaySun1+23,""),IF(AND(YEAR(MaySun1+30)=カレンダーの年,MONTH(MaySun1+30)=5),MaySun1+30,""))</f>
        <v>45076</v>
      </c>
      <c r="D13" s="18">
        <f>IF(DAY(MaySun1)=1,IF(AND(YEAR(MaySun1+24)=カレンダーの年,MONTH(MaySun1+24)=5),MaySun1+24,""),IF(AND(YEAR(MaySun1+31)=カレンダーの年,MONTH(MaySun1+31)=5),MaySun1+31,""))</f>
        <v>45077</v>
      </c>
      <c r="E13" s="18" t="str">
        <f>IF(DAY(MaySun1)=1,IF(AND(YEAR(MaySun1+25)=カレンダーの年,MONTH(MaySun1+25)=5),MaySun1+25,""),IF(AND(YEAR(MaySun1+32)=カレンダーの年,MONTH(MaySun1+32)=5),MaySun1+32,""))</f>
        <v/>
      </c>
      <c r="F13" s="18" t="str">
        <f>IF(DAY(MaySun1)=1,IF(AND(YEAR(MaySun1+26)=カレンダーの年,MONTH(MaySun1+26)=5),MaySun1+26,""),IF(AND(YEAR(MaySun1+33)=カレンダーの年,MONTH(MaySun1+33)=5),MaySun1+33,""))</f>
        <v/>
      </c>
      <c r="G13" s="27" t="str">
        <f>IF(DAY(MaySun1)=1,IF(AND(YEAR(MaySun1+27)=カレンダーの年,MONTH(MaySun1+27)=5),MaySun1+27,""),IF(AND(YEAR(MaySun1+34)=カレンダーの年,MONTH(MaySun1+34)=5),MaySun1+34,""))</f>
        <v/>
      </c>
      <c r="H13" s="18" t="str">
        <f>IF(DAY(MaySun1)=1,IF(AND(YEAR(MaySun1+28)=カレンダーの年,MONTH(MaySun1+28)=5),MaySun1+28,""),IF(AND(YEAR(MaySun1+35)=カレンダーの年,MONTH(MaySun1+35)=5),MaySun1+35,""))</f>
        <v/>
      </c>
      <c r="I13" s="11"/>
    </row>
    <row r="14" spans="1:18" ht="47.25" customHeight="1">
      <c r="A14" s="3"/>
      <c r="B14" s="13"/>
      <c r="C14" s="13"/>
      <c r="D14" s="13"/>
      <c r="E14" s="13"/>
      <c r="F14" s="13"/>
      <c r="G14" s="25"/>
      <c r="H14" s="25"/>
      <c r="I14" s="11"/>
    </row>
    <row r="15" spans="1:18" ht="15" customHeight="1">
      <c r="A15" s="3"/>
      <c r="B15" s="19" t="str">
        <f>IF(DAY(MaySun1)=1,IF(AND(YEAR(MaySun1+29)=カレンダーの年,MONTH(MaySun1+29)=5),MaySun1+29,""),IF(AND(YEAR(MaySun1+36)=カレンダーの年,MONTH(MaySun1+36)=5),MaySun1+36,""))</f>
        <v/>
      </c>
      <c r="C15" s="20" t="str">
        <f>IF(DAY(MaySun1)=1,IF(AND(YEAR(MaySun1+30)=カレンダーの年,MONTH(MaySun1+30)=5),MaySun1+30,""),IF(AND(YEAR(MaySun1+37)=カレンダーの年,MONTH(MaySun1+37)=5),MaySun1+37,""))</f>
        <v/>
      </c>
      <c r="D15" s="118" t="s">
        <v>8</v>
      </c>
      <c r="E15" s="119"/>
      <c r="F15" s="119"/>
      <c r="G15" s="119"/>
      <c r="H15" s="120"/>
      <c r="I15" s="11"/>
    </row>
    <row r="16" spans="1:18" ht="64.5" customHeight="1">
      <c r="A16" s="3"/>
      <c r="B16" s="16"/>
      <c r="C16" s="16"/>
      <c r="D16" s="115" t="s">
        <v>109</v>
      </c>
      <c r="E16" s="116"/>
      <c r="F16" s="116"/>
      <c r="G16" s="116"/>
      <c r="H16" s="117"/>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pageSetUpPr fitToPage="1"/>
  </sheetPr>
  <dimension ref="A1:R20"/>
  <sheetViews>
    <sheetView showGridLines="0" zoomScale="70" zoomScaleNormal="70" workbookViewId="0">
      <selection activeCell="H8" sqref="H8"/>
    </sheetView>
  </sheetViews>
  <sheetFormatPr defaultColWidth="6.6640625" defaultRowHeight="15"/>
  <cols>
    <col min="1" max="1" width="3.0546875" style="1" customWidth="1"/>
    <col min="2" max="6" width="11.27734375" style="1" customWidth="1"/>
    <col min="7" max="8" width="20.6093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10</v>
      </c>
      <c r="D2" s="24"/>
      <c r="E2" s="24"/>
      <c r="F2" s="24"/>
      <c r="G2" s="24"/>
      <c r="H2" s="24"/>
      <c r="I2" s="24"/>
      <c r="J2" s="24"/>
    </row>
    <row r="3" spans="1:18" ht="62.25" customHeight="1">
      <c r="A3" s="3"/>
      <c r="B3" s="121" t="str">
        <f>UPPER(TEXT(DATE(カレンダーの年,6,1),"yyyy年m月"))</f>
        <v>2023年6月</v>
      </c>
      <c r="C3" s="121"/>
      <c r="D3" s="121"/>
      <c r="E3" s="121"/>
      <c r="F3" s="121"/>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IF(DAY(JunSun1)=1,"",IF(AND(YEAR(JunSun1+1)=カレンダーの年,MONTH(JunSun1+1)=6),JunSun1+1,""))</f>
        <v/>
      </c>
      <c r="C5" s="10" t="str">
        <f>IF(DAY(JunSun1)=1,"",IF(AND(YEAR(JunSun1+2)=カレンダーの年,MONTH(JunSun1+2)=6),JunSun1+2,""))</f>
        <v/>
      </c>
      <c r="D5" s="10" t="str">
        <f>IF(DAY(JunSun1)=1,"",IF(AND(YEAR(JunSun1+3)=カレンダーの年,MONTH(JunSun1+3)=6),JunSun1+3,""))</f>
        <v/>
      </c>
      <c r="E5" s="10">
        <f>IF(DAY(JunSun1)=1,"",IF(AND(YEAR(JunSun1+4)=カレンダーの年,MONTH(JunSun1+4)=6),JunSun1+4,""))</f>
        <v>45078</v>
      </c>
      <c r="F5" s="10">
        <f>IF(DAY(JunSun1)=1,"",IF(AND(YEAR(JunSun1+5)=カレンダーの年,MONTH(JunSun1+5)=6),JunSun1+5,""))</f>
        <v>45079</v>
      </c>
      <c r="G5" s="10">
        <f>IF(DAY(JunSun1)=1,"",IF(AND(YEAR(JunSun1+6)=カレンダーの年,MONTH(JunSun1+6)=6),JunSun1+6,""))</f>
        <v>45080</v>
      </c>
      <c r="H5" s="10">
        <f>IF(DAY(JunSun1)=1,IF(AND(YEAR(JunSun1)=カレンダーの年,MONTH(JunSun1)=6),JunSun1,""),IF(AND(YEAR(JunSun1+7)=カレンダーの年,MONTH(JunSun1+7)=6),JunSun1+7,""))</f>
        <v>45081</v>
      </c>
      <c r="I5" s="11"/>
      <c r="K5" s="1"/>
      <c r="L5" s="1"/>
      <c r="M5" s="1"/>
      <c r="Q5" s="12"/>
      <c r="R5" s="1"/>
    </row>
    <row r="6" spans="1:18" s="12" customFormat="1" ht="66.75">
      <c r="A6" s="3"/>
      <c r="B6" s="13"/>
      <c r="C6" s="13"/>
      <c r="D6" s="13"/>
      <c r="E6" s="13"/>
      <c r="F6" s="13"/>
      <c r="G6" s="25"/>
      <c r="H6" s="14" t="s">
        <v>84</v>
      </c>
      <c r="I6" s="11"/>
    </row>
    <row r="7" spans="1:18" ht="15" customHeight="1">
      <c r="A7" s="3"/>
      <c r="B7" s="15">
        <f>IF(DAY(JunSun1)=1,IF(AND(YEAR(JunSun1+1)=カレンダーの年,MONTH(JunSun1+1)=6),JunSun1+1,""),IF(AND(YEAR(JunSun1+8)=カレンダーの年,MONTH(JunSun1+8)=6),JunSun1+8,""))</f>
        <v>45082</v>
      </c>
      <c r="C7" s="15">
        <f>IF(DAY(JunSun1)=1,IF(AND(YEAR(JunSun1+2)=カレンダーの年,MONTH(JunSun1+2)=6),JunSun1+2,""),IF(AND(YEAR(JunSun1+9)=カレンダーの年,MONTH(JunSun1+9)=6),JunSun1+9,""))</f>
        <v>45083</v>
      </c>
      <c r="D7" s="15">
        <f>IF(DAY(JunSun1)=1,IF(AND(YEAR(JunSun1+3)=カレンダーの年,MONTH(JunSun1+3)=6),JunSun1+3,""),IF(AND(YEAR(JunSun1+10)=カレンダーの年,MONTH(JunSun1+10)=6),JunSun1+10,""))</f>
        <v>45084</v>
      </c>
      <c r="E7" s="15">
        <f>IF(DAY(JunSun1)=1,IF(AND(YEAR(JunSun1+4)=カレンダーの年,MONTH(JunSun1+4)=6),JunSun1+4,""),IF(AND(YEAR(JunSun1+11)=カレンダーの年,MONTH(JunSun1+11)=6),JunSun1+11,""))</f>
        <v>45085</v>
      </c>
      <c r="F7" s="15">
        <f>IF(DAY(JunSun1)=1,IF(AND(YEAR(JunSun1+5)=カレンダーの年,MONTH(JunSun1+5)=6),JunSun1+5,""),IF(AND(YEAR(JunSun1+12)=カレンダーの年,MONTH(JunSun1+12)=6),JunSun1+12,""))</f>
        <v>45086</v>
      </c>
      <c r="G7" s="15">
        <f>IF(DAY(JunSun1)=1,IF(AND(YEAR(JunSun1+6)=カレンダーの年,MONTH(JunSun1+6)=6),JunSun1+6,""),IF(AND(YEAR(JunSun1+13)=カレンダーの年,MONTH(JunSun1+13)=6),JunSun1+13,""))</f>
        <v>45087</v>
      </c>
      <c r="H7" s="15">
        <f>IF(DAY(JunSun1)=1,IF(AND(YEAR(JunSun1+7)=カレンダーの年,MONTH(JunSun1+7)=6),JunSun1+7,""),IF(AND(YEAR(JunSun1+14)=カレンダーの年,MONTH(JunSun1+14)=6),JunSun1+14,""))</f>
        <v>45088</v>
      </c>
      <c r="I7" s="11"/>
    </row>
    <row r="8" spans="1:18" ht="66.75">
      <c r="A8" s="3"/>
      <c r="B8" s="16"/>
      <c r="C8" s="16"/>
      <c r="D8" s="16"/>
      <c r="E8" s="16"/>
      <c r="F8" s="16"/>
      <c r="G8" s="26"/>
      <c r="H8" s="17" t="s">
        <v>84</v>
      </c>
      <c r="I8" s="11"/>
    </row>
    <row r="9" spans="1:18" ht="15" customHeight="1">
      <c r="A9" s="3"/>
      <c r="B9" s="18">
        <f>IF(DAY(JunSun1)=1,IF(AND(YEAR(JunSun1+8)=カレンダーの年,MONTH(JunSun1+8)=6),JunSun1+8,""),IF(AND(YEAR(JunSun1+15)=カレンダーの年,MONTH(JunSun1+15)=6),JunSun1+15,""))</f>
        <v>45089</v>
      </c>
      <c r="C9" s="18">
        <f>IF(DAY(JunSun1)=1,IF(AND(YEAR(JunSun1+9)=カレンダーの年,MONTH(JunSun1+9)=6),JunSun1+9,""),IF(AND(YEAR(JunSun1+16)=カレンダーの年,MONTH(JunSun1+16)=6),JunSun1+16,""))</f>
        <v>45090</v>
      </c>
      <c r="D9" s="18">
        <f>IF(DAY(JunSun1)=1,IF(AND(YEAR(JunSun1+10)=カレンダーの年,MONTH(JunSun1+10)=6),JunSun1+10,""),IF(AND(YEAR(JunSun1+17)=カレンダーの年,MONTH(JunSun1+17)=6),JunSun1+17,""))</f>
        <v>45091</v>
      </c>
      <c r="E9" s="18">
        <f>IF(DAY(JunSun1)=1,IF(AND(YEAR(JunSun1+11)=カレンダーの年,MONTH(JunSun1+11)=6),JunSun1+11,""),IF(AND(YEAR(JunSun1+18)=カレンダーの年,MONTH(JunSun1+18)=6),JunSun1+18,""))</f>
        <v>45092</v>
      </c>
      <c r="F9" s="18">
        <f>IF(DAY(JunSun1)=1,IF(AND(YEAR(JunSun1+12)=カレンダーの年,MONTH(JunSun1+12)=6),JunSun1+12,""),IF(AND(YEAR(JunSun1+19)=カレンダーの年,MONTH(JunSun1+19)=6),JunSun1+19,""))</f>
        <v>45093</v>
      </c>
      <c r="G9" s="18">
        <f>IF(DAY(JunSun1)=1,IF(AND(YEAR(JunSun1+13)=カレンダーの年,MONTH(JunSun1+13)=6),JunSun1+13,""),IF(AND(YEAR(JunSun1+20)=カレンダーの年,MONTH(JunSun1+20)=6),JunSun1+20,""))</f>
        <v>45094</v>
      </c>
      <c r="H9" s="18">
        <f>IF(DAY(JunSun1)=1,IF(AND(YEAR(JunSun1+14)=カレンダーの年,MONTH(JunSun1+14)=6),JunSun1+14,""),IF(AND(YEAR(JunSun1+21)=カレンダーの年,MONTH(JunSun1+21)=6),JunSun1+21,""))</f>
        <v>45095</v>
      </c>
      <c r="I9" s="11"/>
    </row>
    <row r="10" spans="1:18" ht="66.75">
      <c r="A10" s="3"/>
      <c r="B10" s="13"/>
      <c r="C10" s="13"/>
      <c r="D10" s="13"/>
      <c r="E10" s="13"/>
      <c r="F10" s="13"/>
      <c r="G10" s="25"/>
      <c r="H10" s="14" t="s">
        <v>84</v>
      </c>
      <c r="I10" s="11"/>
    </row>
    <row r="11" spans="1:18" ht="15" customHeight="1">
      <c r="A11" s="3"/>
      <c r="B11" s="19">
        <f>IF(DAY(JunSun1)=1,IF(AND(YEAR(JunSun1+15)=カレンダーの年,MONTH(JunSun1+15)=6),JunSun1+15,""),IF(AND(YEAR(JunSun1+22)=カレンダーの年,MONTH(JunSun1+22)=6),JunSun1+22,""))</f>
        <v>45096</v>
      </c>
      <c r="C11" s="19">
        <f>IF(DAY(JunSun1)=1,IF(AND(YEAR(JunSun1+16)=カレンダーの年,MONTH(JunSun1+16)=6),JunSun1+16,""),IF(AND(YEAR(JunSun1+23)=カレンダーの年,MONTH(JunSun1+23)=6),JunSun1+23,""))</f>
        <v>45097</v>
      </c>
      <c r="D11" s="19">
        <f>IF(DAY(JunSun1)=1,IF(AND(YEAR(JunSun1+17)=カレンダーの年,MONTH(JunSun1+17)=6),JunSun1+17,""),IF(AND(YEAR(JunSun1+24)=カレンダーの年,MONTH(JunSun1+24)=6),JunSun1+24,""))</f>
        <v>45098</v>
      </c>
      <c r="E11" s="19">
        <f>IF(DAY(JunSun1)=1,IF(AND(YEAR(JunSun1+18)=カレンダーの年,MONTH(JunSun1+18)=6),JunSun1+18,""),IF(AND(YEAR(JunSun1+25)=カレンダーの年,MONTH(JunSun1+25)=6),JunSun1+25,""))</f>
        <v>45099</v>
      </c>
      <c r="F11" s="19">
        <f>IF(DAY(JunSun1)=1,IF(AND(YEAR(JunSun1+19)=カレンダーの年,MONTH(JunSun1+19)=6),JunSun1+19,""),IF(AND(YEAR(JunSun1+26)=カレンダーの年,MONTH(JunSun1+26)=6),JunSun1+26,""))</f>
        <v>45100</v>
      </c>
      <c r="G11" s="19">
        <f>IF(DAY(JunSun1)=1,IF(AND(YEAR(JunSun1+20)=カレンダーの年,MONTH(JunSun1+20)=6),JunSun1+20,""),IF(AND(YEAR(JunSun1+27)=カレンダーの年,MONTH(JunSun1+27)=6),JunSun1+27,""))</f>
        <v>45101</v>
      </c>
      <c r="H11" s="19">
        <f>IF(DAY(JunSun1)=1,IF(AND(YEAR(JunSun1+21)=カレンダーの年,MONTH(JunSun1+21)=6),JunSun1+21,""),IF(AND(YEAR(JunSun1+28)=カレンダーの年,MONTH(JunSun1+28)=6),JunSun1+28,""))</f>
        <v>45102</v>
      </c>
      <c r="I11" s="11"/>
    </row>
    <row r="12" spans="1:18" ht="66.75">
      <c r="A12" s="3"/>
      <c r="B12" s="16"/>
      <c r="C12" s="16"/>
      <c r="D12" s="16"/>
      <c r="E12" s="16"/>
      <c r="F12" s="16"/>
      <c r="G12" s="26"/>
      <c r="H12" s="17" t="s">
        <v>84</v>
      </c>
      <c r="I12" s="11"/>
    </row>
    <row r="13" spans="1:18" ht="15" customHeight="1">
      <c r="A13" s="3"/>
      <c r="B13" s="18">
        <f>IF(DAY(JunSun1)=1,IF(AND(YEAR(JunSun1+22)=カレンダーの年,MONTH(JunSun1+22)=6),JunSun1+22,""),IF(AND(YEAR(JunSun1+29)=カレンダーの年,MONTH(JunSun1+29)=6),JunSun1+29,""))</f>
        <v>45103</v>
      </c>
      <c r="C13" s="18">
        <f>IF(DAY(JunSun1)=1,IF(AND(YEAR(JunSun1+23)=カレンダーの年,MONTH(JunSun1+23)=6),JunSun1+23,""),IF(AND(YEAR(JunSun1+30)=カレンダーの年,MONTH(JunSun1+30)=6),JunSun1+30,""))</f>
        <v>45104</v>
      </c>
      <c r="D13" s="18">
        <f>IF(DAY(JunSun1)=1,IF(AND(YEAR(JunSun1+24)=カレンダーの年,MONTH(JunSun1+24)=6),JunSun1+24,""),IF(AND(YEAR(JunSun1+31)=カレンダーの年,MONTH(JunSun1+31)=6),JunSun1+31,""))</f>
        <v>45105</v>
      </c>
      <c r="E13" s="18">
        <f>IF(DAY(JunSun1)=1,IF(AND(YEAR(JunSun1+25)=カレンダーの年,MONTH(JunSun1+25)=6),JunSun1+25,""),IF(AND(YEAR(JunSun1+32)=カレンダーの年,MONTH(JunSun1+32)=6),JunSun1+32,""))</f>
        <v>45106</v>
      </c>
      <c r="F13" s="18">
        <f>IF(DAY(JunSun1)=1,IF(AND(YEAR(JunSun1+26)=カレンダーの年,MONTH(JunSun1+26)=6),JunSun1+26,""),IF(AND(YEAR(JunSun1+33)=カレンダーの年,MONTH(JunSun1+33)=6),JunSun1+33,""))</f>
        <v>45107</v>
      </c>
      <c r="G13" s="18" t="str">
        <f>IF(DAY(JunSun1)=1,IF(AND(YEAR(JunSun1+27)=カレンダーの年,MONTH(JunSun1+27)=6),JunSun1+27,""),IF(AND(YEAR(JunSun1+34)=カレンダーの年,MONTH(JunSun1+34)=6),JunSun1+34,""))</f>
        <v/>
      </c>
      <c r="H13" s="18" t="str">
        <f>IF(DAY(JunSun1)=1,IF(AND(YEAR(JunSun1+28)=カレンダーの年,MONTH(JunSun1+28)=6),JunSun1+28,""),IF(AND(YEAR(JunSun1+35)=カレンダーの年,MONTH(JunSun1+35)=6),JunSun1+35,""))</f>
        <v/>
      </c>
      <c r="I13" s="11"/>
    </row>
    <row r="14" spans="1:18" ht="79.5" customHeight="1">
      <c r="A14" s="3"/>
      <c r="B14" s="13"/>
      <c r="C14" s="13"/>
      <c r="D14" s="13"/>
      <c r="E14" s="13"/>
      <c r="F14" s="13"/>
      <c r="G14" s="14"/>
      <c r="H14" s="14"/>
      <c r="I14" s="11"/>
    </row>
    <row r="15" spans="1:18" ht="15" customHeight="1">
      <c r="A15" s="3"/>
      <c r="B15" s="19" t="str">
        <f>IF(DAY(JunSun1)=1,IF(AND(YEAR(JunSun1+29)=カレンダーの年,MONTH(JunSun1+29)=6),JunSun1+29,""),IF(AND(YEAR(JunSun1+36)=カレンダーの年,MONTH(JunSun1+36)=6),JunSun1+36,""))</f>
        <v/>
      </c>
      <c r="C15" s="20" t="str">
        <f>IF(DAY(JunSun1)=1,IF(AND(YEAR(JunSun1+30)=カレンダーの年,MONTH(JunSun1+30)=6),JunSun1+30,""),IF(AND(YEAR(JunSun1+37)=カレンダーの年,MONTH(JunSun1+37)=6),JunSun1+37,""))</f>
        <v/>
      </c>
      <c r="D15" s="118" t="s">
        <v>8</v>
      </c>
      <c r="E15" s="119"/>
      <c r="F15" s="119"/>
      <c r="G15" s="119"/>
      <c r="H15" s="120"/>
      <c r="I15" s="11"/>
    </row>
    <row r="16" spans="1:18" ht="64.5" customHeight="1">
      <c r="A16" s="3"/>
      <c r="B16" s="16"/>
      <c r="C16" s="16"/>
      <c r="D16" s="115" t="s">
        <v>11</v>
      </c>
      <c r="E16" s="116"/>
      <c r="F16" s="116"/>
      <c r="G16" s="116"/>
      <c r="H16" s="117"/>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週間予定 (2)</vt:lpstr>
      <vt:lpstr>基本予定</vt:lpstr>
      <vt:lpstr>T評価P</vt:lpstr>
      <vt:lpstr>1 月</vt:lpstr>
      <vt:lpstr>2 月</vt:lpstr>
      <vt:lpstr>3 月</vt:lpstr>
      <vt:lpstr>4 月</vt:lpstr>
      <vt:lpstr>5 月</vt:lpstr>
      <vt:lpstr>6 月</vt:lpstr>
      <vt:lpstr>7 月</vt:lpstr>
      <vt:lpstr>8 月</vt:lpstr>
      <vt:lpstr>9 月</vt:lpstr>
      <vt:lpstr>10 月</vt:lpstr>
      <vt:lpstr>11 月</vt:lpstr>
      <vt:lpstr>12 月</vt:lpstr>
      <vt:lpstr>カレンダーの年</vt:lpstr>
      <vt:lpstr>'1 月'!印刷範囲</vt:lpstr>
      <vt:lpstr>'10 月'!印刷範囲</vt:lpstr>
      <vt:lpstr>'11 月'!印刷範囲</vt:lpstr>
      <vt:lpstr>'12 月'!印刷範囲</vt:lpstr>
      <vt:lpstr>'2 月'!印刷範囲</vt:lpstr>
      <vt:lpstr>'3 月'!印刷範囲</vt:lpstr>
      <vt:lpstr>'4 月'!印刷範囲</vt:lpstr>
      <vt:lpstr>'5 月'!印刷範囲</vt:lpstr>
      <vt:lpstr>'6 月'!印刷範囲</vt:lpstr>
      <vt:lpstr>'7 月'!印刷範囲</vt:lpstr>
      <vt:lpstr>'8 月'!印刷範囲</vt:lpstr>
      <vt:lpstr>'9 月'!印刷範囲</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2019-10-28T05:34:28Z</dcterms:created>
  <dcterms:modified xsi:type="dcterms:W3CDTF">2023-12-02T08:41:32Z</dcterms:modified>
</cp:coreProperties>
</file>