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13_ncr:1_{8B536B17-85A7-44AD-AD14-A150B084E9D8}" xr6:coauthVersionLast="47" xr6:coauthVersionMax="47" xr10:uidLastSave="{00000000-0000-0000-0000-000000000000}"/>
  <bookViews>
    <workbookView xWindow="-28920" yWindow="5970" windowWidth="29040" windowHeight="15720" tabRatio="611" activeTab="13" xr2:uid="{00000000-000D-0000-FFFF-FFFF00000000}"/>
  </bookViews>
  <sheets>
    <sheet name="週間予定 (2)" sheetId="22" r:id="rId1"/>
    <sheet name="T評価P" sheetId="20" r:id="rId2"/>
    <sheet name="1 月" sheetId="6" r:id="rId3"/>
    <sheet name="2 月" sheetId="9" r:id="rId4"/>
    <sheet name="3 月" sheetId="10" r:id="rId5"/>
    <sheet name="4 月" sheetId="11" r:id="rId6"/>
    <sheet name="5 月" sheetId="12" r:id="rId7"/>
    <sheet name="6 月" sheetId="13" r:id="rId8"/>
    <sheet name="7 月" sheetId="14" r:id="rId9"/>
    <sheet name="8 月" sheetId="15" r:id="rId10"/>
    <sheet name="9 月" sheetId="16" r:id="rId11"/>
    <sheet name="10 月" sheetId="17" r:id="rId12"/>
    <sheet name="11 月" sheetId="18" r:id="rId13"/>
    <sheet name="12 月" sheetId="19" r:id="rId14"/>
  </sheets>
  <definedNames>
    <definedName name="AprSun1">DATE(カレンダーの年,4,1)-WEEKDAY(DATE(カレンダーの年,4,1))+1</definedName>
    <definedName name="AugSun1">DATE(カレンダーの年,8,1)-WEEKDAY(DATE(カレンダーの年,8,1))+1</definedName>
    <definedName name="ColumnTitle1">#REF!</definedName>
    <definedName name="DecSun1">DATE(カレンダーの年,12,1)-WEEKDAY(DATE(カレンダーの年,12,1))+1</definedName>
    <definedName name="FebSun1">DATE(カレンダーの年,2,1)-WEEKDAY(DATE(カレンダーの年,2,1))+1</definedName>
    <definedName name="JanSun1">DATE(カレンダーの年,1,1)-WEEKDAY(DATE(カレンダーの年,1,1))+1</definedName>
    <definedName name="JulSun1">DATE(カレンダーの年,7,1)-WEEKDAY(DATE(カレンダーの年,7,1))+1</definedName>
    <definedName name="JunSun1">DATE(カレンダーの年,6,1)-WEEKDAY(DATE(カレンダーの年,6,1))+1</definedName>
    <definedName name="LastDay_Week">MAX(#REF!)</definedName>
    <definedName name="LastDayOfMonth_Week">DAY(EOMONTH(DATE(#REF!,WkMonthNum,1),0))</definedName>
    <definedName name="MarSun1">DATE(カレンダーの年,3,1)-WEEKDAY(DATE(カレンダーの年,3,1))+1</definedName>
    <definedName name="MaySun1">DATE(カレンダーの年,5,1)-WEEKDAY(DATE(カレンダーの年,5,1))+1</definedName>
    <definedName name="MoMonth">#REF!</definedName>
    <definedName name="MoMonthNum">MONTH(DATEVALUE(MoMonth&amp;"/1"))</definedName>
    <definedName name="MoYear">#REF!</definedName>
    <definedName name="NovSun1">DATE(カレンダーの年,11,1)-WEEKDAY(DATE(カレンダーの年,11,1))+1</definedName>
    <definedName name="OctSun1">DATE(カレンダーの年,10,1)-WEEKDAY(DATE(カレンダーの年,10,1))+1</definedName>
    <definedName name="SepSun1">DATE(カレンダーの年,9,1)-WEEKDAY(DATE(カレンダーの年,9,1))+1</definedName>
    <definedName name="WkMonthNum">#N/A</definedName>
    <definedName name="WkMonthView">#REF!</definedName>
    <definedName name="WkWeek">LEFT(RIGHT(#REF!,3),1)</definedName>
    <definedName name="カレンダーの年">'1 月'!$K$2</definedName>
    <definedName name="印刷範囲" localSheetId="2">'1 月'!$B$2:$J$16</definedName>
    <definedName name="印刷範囲" localSheetId="11">'10 月'!$B$2:$J$16</definedName>
    <definedName name="印刷範囲" localSheetId="12">'11 月'!$B$2:$J$16</definedName>
    <definedName name="印刷範囲" localSheetId="13">'12 月'!$B$2:$J$16</definedName>
    <definedName name="印刷範囲" localSheetId="3">'2 月'!$B$2:$J$16</definedName>
    <definedName name="印刷範囲" localSheetId="4">'3 月'!$B$2:$J$16</definedName>
    <definedName name="印刷範囲" localSheetId="5">'4 月'!$B$2:$J$16</definedName>
    <definedName name="印刷範囲" localSheetId="6">'5 月'!$B$2:$J$16</definedName>
    <definedName name="印刷範囲" localSheetId="7">'6 月'!$B$2:$J$16</definedName>
    <definedName name="印刷範囲" localSheetId="8">'7 月'!$B$2:$J$16</definedName>
    <definedName name="印刷範囲" localSheetId="9">'8 月'!$B$2:$J$16</definedName>
    <definedName name="印刷範囲" localSheetId="10">'9 月'!$B$2:$J$16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9" l="1"/>
  <c r="G13" i="14"/>
  <c r="H13" i="14"/>
  <c r="H11" i="14"/>
  <c r="G7" i="12"/>
  <c r="H7" i="11"/>
  <c r="G7" i="11"/>
  <c r="G7" i="14"/>
  <c r="G9" i="14"/>
  <c r="G11" i="14"/>
  <c r="H7" i="19"/>
  <c r="B3" i="6"/>
  <c r="B3" i="9"/>
  <c r="B3" i="10"/>
  <c r="B3" i="11"/>
  <c r="B3" i="12"/>
  <c r="B3" i="13"/>
  <c r="B3" i="14"/>
  <c r="B3" i="15"/>
  <c r="B3" i="16"/>
  <c r="B3" i="17"/>
  <c r="B3" i="18"/>
  <c r="B5" i="6"/>
  <c r="D5" i="6"/>
  <c r="C15" i="11"/>
  <c r="B15" i="11"/>
  <c r="H13" i="11"/>
  <c r="G13" i="11"/>
  <c r="F13" i="11"/>
  <c r="E13" i="11"/>
  <c r="D13" i="11"/>
  <c r="C13" i="11"/>
  <c r="B13" i="11"/>
  <c r="H11" i="11"/>
  <c r="G11" i="11"/>
  <c r="F11" i="11"/>
  <c r="E11" i="11"/>
  <c r="D11" i="11"/>
  <c r="C11" i="11"/>
  <c r="B11" i="11"/>
  <c r="H9" i="11"/>
  <c r="G9" i="11"/>
  <c r="F9" i="11"/>
  <c r="E9" i="11"/>
  <c r="D9" i="11"/>
  <c r="C9" i="11"/>
  <c r="B9" i="11"/>
  <c r="F7" i="11"/>
  <c r="E7" i="11"/>
  <c r="D7" i="11"/>
  <c r="C7" i="11"/>
  <c r="B7" i="11"/>
  <c r="H5" i="11"/>
  <c r="G5" i="11"/>
  <c r="F5" i="11"/>
  <c r="E5" i="11"/>
  <c r="D5" i="11"/>
  <c r="C5" i="11"/>
  <c r="B5" i="11"/>
  <c r="C15" i="12"/>
  <c r="B15" i="12"/>
  <c r="H13" i="12"/>
  <c r="G13" i="12"/>
  <c r="F13" i="12"/>
  <c r="E13" i="12"/>
  <c r="D13" i="12"/>
  <c r="C13" i="12"/>
  <c r="B13" i="12"/>
  <c r="H11" i="12"/>
  <c r="G11" i="12"/>
  <c r="F11" i="12"/>
  <c r="E11" i="12"/>
  <c r="D11" i="12"/>
  <c r="C11" i="12"/>
  <c r="B11" i="12"/>
  <c r="H9" i="12"/>
  <c r="G9" i="12"/>
  <c r="F9" i="12"/>
  <c r="E9" i="12"/>
  <c r="D9" i="12"/>
  <c r="C9" i="12"/>
  <c r="B9" i="12"/>
  <c r="H7" i="12"/>
  <c r="F7" i="12"/>
  <c r="E7" i="12"/>
  <c r="D7" i="12"/>
  <c r="C7" i="12"/>
  <c r="B7" i="12"/>
  <c r="H5" i="12"/>
  <c r="G5" i="12"/>
  <c r="F5" i="12"/>
  <c r="E5" i="12"/>
  <c r="D5" i="12"/>
  <c r="C5" i="12"/>
  <c r="B5" i="12"/>
  <c r="C15" i="13"/>
  <c r="B15" i="13"/>
  <c r="H13" i="13"/>
  <c r="G13" i="13"/>
  <c r="F13" i="13"/>
  <c r="E13" i="13"/>
  <c r="D13" i="13"/>
  <c r="C13" i="13"/>
  <c r="B13" i="13"/>
  <c r="H11" i="13"/>
  <c r="G11" i="13"/>
  <c r="F11" i="13"/>
  <c r="E11" i="13"/>
  <c r="D11" i="13"/>
  <c r="C11" i="13"/>
  <c r="B11" i="13"/>
  <c r="H9" i="13"/>
  <c r="G9" i="13"/>
  <c r="F9" i="13"/>
  <c r="E9" i="13"/>
  <c r="D9" i="13"/>
  <c r="C9" i="13"/>
  <c r="B9" i="13"/>
  <c r="H7" i="13"/>
  <c r="G7" i="13"/>
  <c r="F7" i="13"/>
  <c r="E7" i="13"/>
  <c r="D7" i="13"/>
  <c r="C7" i="13"/>
  <c r="B7" i="13"/>
  <c r="H5" i="13"/>
  <c r="G5" i="13"/>
  <c r="F5" i="13"/>
  <c r="E5" i="13"/>
  <c r="D5" i="13"/>
  <c r="C5" i="13"/>
  <c r="B5" i="13"/>
  <c r="C15" i="14"/>
  <c r="B15" i="14"/>
  <c r="F13" i="14"/>
  <c r="E13" i="14"/>
  <c r="D13" i="14"/>
  <c r="C13" i="14"/>
  <c r="B13" i="14"/>
  <c r="F11" i="14"/>
  <c r="E11" i="14"/>
  <c r="D11" i="14"/>
  <c r="C11" i="14"/>
  <c r="B11" i="14"/>
  <c r="H9" i="14"/>
  <c r="F9" i="14"/>
  <c r="E9" i="14"/>
  <c r="D9" i="14"/>
  <c r="C9" i="14"/>
  <c r="B9" i="14"/>
  <c r="H7" i="14"/>
  <c r="F7" i="14"/>
  <c r="E7" i="14"/>
  <c r="D7" i="14"/>
  <c r="C7" i="14"/>
  <c r="B7" i="14"/>
  <c r="H5" i="14"/>
  <c r="G5" i="14"/>
  <c r="F5" i="14"/>
  <c r="E5" i="14"/>
  <c r="D5" i="14"/>
  <c r="C5" i="14"/>
  <c r="B5" i="14"/>
  <c r="C15" i="15"/>
  <c r="B15" i="15"/>
  <c r="H13" i="15"/>
  <c r="G13" i="15"/>
  <c r="F13" i="15"/>
  <c r="E13" i="15"/>
  <c r="D13" i="15"/>
  <c r="C13" i="15"/>
  <c r="B13" i="15"/>
  <c r="H11" i="15"/>
  <c r="G11" i="15"/>
  <c r="F11" i="15"/>
  <c r="E11" i="15"/>
  <c r="D11" i="15"/>
  <c r="C11" i="15"/>
  <c r="B11" i="15"/>
  <c r="H9" i="15"/>
  <c r="G9" i="15"/>
  <c r="F9" i="15"/>
  <c r="E9" i="15"/>
  <c r="D9" i="15"/>
  <c r="C9" i="15"/>
  <c r="B9" i="15"/>
  <c r="H7" i="15"/>
  <c r="G7" i="15"/>
  <c r="F7" i="15"/>
  <c r="E7" i="15"/>
  <c r="D7" i="15"/>
  <c r="C7" i="15"/>
  <c r="B7" i="15"/>
  <c r="H5" i="15"/>
  <c r="G5" i="15"/>
  <c r="F5" i="15"/>
  <c r="E5" i="15"/>
  <c r="D5" i="15"/>
  <c r="C5" i="15"/>
  <c r="B5" i="15"/>
  <c r="C15" i="16"/>
  <c r="B15" i="16"/>
  <c r="H13" i="16"/>
  <c r="G13" i="16"/>
  <c r="F13" i="16"/>
  <c r="E13" i="16"/>
  <c r="D13" i="16"/>
  <c r="C13" i="16"/>
  <c r="B13" i="16"/>
  <c r="H11" i="16"/>
  <c r="G11" i="16"/>
  <c r="F11" i="16"/>
  <c r="E11" i="16"/>
  <c r="D11" i="16"/>
  <c r="C11" i="16"/>
  <c r="B11" i="16"/>
  <c r="H9" i="16"/>
  <c r="G9" i="16"/>
  <c r="F9" i="16"/>
  <c r="E9" i="16"/>
  <c r="D9" i="16"/>
  <c r="C9" i="16"/>
  <c r="B9" i="16"/>
  <c r="H7" i="16"/>
  <c r="G7" i="16"/>
  <c r="F7" i="16"/>
  <c r="E7" i="16"/>
  <c r="D7" i="16"/>
  <c r="C7" i="16"/>
  <c r="B7" i="16"/>
  <c r="H5" i="16"/>
  <c r="G5" i="16"/>
  <c r="F5" i="16"/>
  <c r="E5" i="16"/>
  <c r="D5" i="16"/>
  <c r="C5" i="16"/>
  <c r="B5" i="16"/>
  <c r="C15" i="17"/>
  <c r="B15" i="17"/>
  <c r="H13" i="17"/>
  <c r="G13" i="17"/>
  <c r="F13" i="17"/>
  <c r="E13" i="17"/>
  <c r="D13" i="17"/>
  <c r="C13" i="17"/>
  <c r="B13" i="17"/>
  <c r="H11" i="17"/>
  <c r="G11" i="17"/>
  <c r="F11" i="17"/>
  <c r="E11" i="17"/>
  <c r="D11" i="17"/>
  <c r="C11" i="17"/>
  <c r="B11" i="17"/>
  <c r="H9" i="17"/>
  <c r="G9" i="17"/>
  <c r="F9" i="17"/>
  <c r="E9" i="17"/>
  <c r="D9" i="17"/>
  <c r="C9" i="17"/>
  <c r="B9" i="17"/>
  <c r="H7" i="17"/>
  <c r="G7" i="17"/>
  <c r="F7" i="17"/>
  <c r="E7" i="17"/>
  <c r="D7" i="17"/>
  <c r="C7" i="17"/>
  <c r="B7" i="17"/>
  <c r="H5" i="17"/>
  <c r="G5" i="17"/>
  <c r="F5" i="17"/>
  <c r="E5" i="17"/>
  <c r="D5" i="17"/>
  <c r="C5" i="17"/>
  <c r="B5" i="17"/>
  <c r="C15" i="18"/>
  <c r="B15" i="18"/>
  <c r="H13" i="18"/>
  <c r="G13" i="18"/>
  <c r="F13" i="18"/>
  <c r="E13" i="18"/>
  <c r="D13" i="18"/>
  <c r="C13" i="18"/>
  <c r="B13" i="18"/>
  <c r="H11" i="18"/>
  <c r="G11" i="18"/>
  <c r="F11" i="18"/>
  <c r="E11" i="18"/>
  <c r="D11" i="18"/>
  <c r="C11" i="18"/>
  <c r="B11" i="18"/>
  <c r="H9" i="18"/>
  <c r="G9" i="18"/>
  <c r="F9" i="18"/>
  <c r="E9" i="18"/>
  <c r="D9" i="18"/>
  <c r="C9" i="18"/>
  <c r="B9" i="18"/>
  <c r="H7" i="18"/>
  <c r="G7" i="18"/>
  <c r="F7" i="18"/>
  <c r="E7" i="18"/>
  <c r="D7" i="18"/>
  <c r="C7" i="18"/>
  <c r="B7" i="18"/>
  <c r="H5" i="18"/>
  <c r="G5" i="18"/>
  <c r="F5" i="18"/>
  <c r="E5" i="18"/>
  <c r="D5" i="18"/>
  <c r="C5" i="18"/>
  <c r="B5" i="18"/>
  <c r="C15" i="19"/>
  <c r="B15" i="19"/>
  <c r="H13" i="19"/>
  <c r="G13" i="19"/>
  <c r="F13" i="19"/>
  <c r="E13" i="19"/>
  <c r="D13" i="19"/>
  <c r="C13" i="19"/>
  <c r="B13" i="19"/>
  <c r="H11" i="19"/>
  <c r="G11" i="19"/>
  <c r="F11" i="19"/>
  <c r="E11" i="19"/>
  <c r="D11" i="19"/>
  <c r="C11" i="19"/>
  <c r="B11" i="19"/>
  <c r="H9" i="19"/>
  <c r="G9" i="19"/>
  <c r="F9" i="19"/>
  <c r="E9" i="19"/>
  <c r="D9" i="19"/>
  <c r="C9" i="19"/>
  <c r="B9" i="19"/>
  <c r="G7" i="19"/>
  <c r="F7" i="19"/>
  <c r="E7" i="19"/>
  <c r="D7" i="19"/>
  <c r="C7" i="19"/>
  <c r="B7" i="19"/>
  <c r="H5" i="19"/>
  <c r="G5" i="19"/>
  <c r="F5" i="19"/>
  <c r="E5" i="19"/>
  <c r="D5" i="19"/>
  <c r="C5" i="19"/>
  <c r="B5" i="19"/>
  <c r="C15" i="10"/>
  <c r="B15" i="10"/>
  <c r="H13" i="10"/>
  <c r="G13" i="10"/>
  <c r="F13" i="10"/>
  <c r="E13" i="10"/>
  <c r="D13" i="10"/>
  <c r="C13" i="10"/>
  <c r="B13" i="10"/>
  <c r="H11" i="10"/>
  <c r="G11" i="10"/>
  <c r="F11" i="10"/>
  <c r="E11" i="10"/>
  <c r="D11" i="10"/>
  <c r="C11" i="10"/>
  <c r="B11" i="10"/>
  <c r="H9" i="10"/>
  <c r="G9" i="10"/>
  <c r="F9" i="10"/>
  <c r="E9" i="10"/>
  <c r="D9" i="10"/>
  <c r="C9" i="10"/>
  <c r="B9" i="10"/>
  <c r="H7" i="10"/>
  <c r="G7" i="10"/>
  <c r="F7" i="10"/>
  <c r="E7" i="10"/>
  <c r="D7" i="10"/>
  <c r="C7" i="10"/>
  <c r="B7" i="10"/>
  <c r="H5" i="10"/>
  <c r="G5" i="10"/>
  <c r="F5" i="10"/>
  <c r="E5" i="10"/>
  <c r="D5" i="10"/>
  <c r="C5" i="10"/>
  <c r="B5" i="10"/>
  <c r="C15" i="9"/>
  <c r="B15" i="9"/>
  <c r="H13" i="9"/>
  <c r="G13" i="9"/>
  <c r="F13" i="9"/>
  <c r="E13" i="9"/>
  <c r="D13" i="9"/>
  <c r="C13" i="9"/>
  <c r="B13" i="9"/>
  <c r="H11" i="9"/>
  <c r="G11" i="9"/>
  <c r="F11" i="9"/>
  <c r="E11" i="9"/>
  <c r="D11" i="9"/>
  <c r="C11" i="9"/>
  <c r="B11" i="9"/>
  <c r="H9" i="9"/>
  <c r="G9" i="9"/>
  <c r="F9" i="9"/>
  <c r="E9" i="9"/>
  <c r="D9" i="9"/>
  <c r="C9" i="9"/>
  <c r="B9" i="9"/>
  <c r="H7" i="9"/>
  <c r="G7" i="9"/>
  <c r="F7" i="9"/>
  <c r="E7" i="9"/>
  <c r="D7" i="9"/>
  <c r="C7" i="9"/>
  <c r="B7" i="9"/>
  <c r="H5" i="9"/>
  <c r="G5" i="9"/>
  <c r="F5" i="9"/>
  <c r="E5" i="9"/>
  <c r="D5" i="9"/>
  <c r="C5" i="9"/>
  <c r="B5" i="9"/>
  <c r="C15" i="6"/>
  <c r="C5" i="6"/>
  <c r="E5" i="6"/>
  <c r="F5" i="6"/>
  <c r="G5" i="6"/>
  <c r="H5" i="6"/>
  <c r="B7" i="6"/>
  <c r="C7" i="6"/>
  <c r="D7" i="6"/>
  <c r="E7" i="6"/>
  <c r="F7" i="6"/>
  <c r="G7" i="6"/>
  <c r="H7" i="6"/>
  <c r="B9" i="6"/>
  <c r="C9" i="6"/>
  <c r="D9" i="6"/>
  <c r="E9" i="6"/>
  <c r="F9" i="6"/>
  <c r="G9" i="6"/>
  <c r="H9" i="6"/>
  <c r="B11" i="6"/>
  <c r="C11" i="6"/>
  <c r="D11" i="6"/>
  <c r="E11" i="6"/>
  <c r="F11" i="6"/>
  <c r="G11" i="6"/>
  <c r="H11" i="6"/>
  <c r="B13" i="6"/>
  <c r="C13" i="6"/>
  <c r="D13" i="6"/>
  <c r="E13" i="6"/>
  <c r="F13" i="6"/>
  <c r="G13" i="6"/>
  <c r="H13" i="6"/>
  <c r="B15" i="6"/>
</calcChain>
</file>

<file path=xl/sharedStrings.xml><?xml version="1.0" encoding="utf-8"?>
<sst xmlns="http://schemas.openxmlformats.org/spreadsheetml/2006/main" count="312" uniqueCount="135">
  <si>
    <t>火曜日</t>
  </si>
  <si>
    <t>水曜日</t>
  </si>
  <si>
    <t>木曜日</t>
  </si>
  <si>
    <t>金曜日</t>
  </si>
  <si>
    <t>土曜</t>
  </si>
  <si>
    <t>日曜</t>
  </si>
  <si>
    <t>月曜日</t>
    <phoneticPr fontId="6"/>
  </si>
  <si>
    <t>年の選択:</t>
  </si>
  <si>
    <t>メモ:</t>
  </si>
  <si>
    <t>月曜日</t>
  </si>
  <si>
    <t>テーマ</t>
    <phoneticPr fontId="6"/>
  </si>
  <si>
    <t>気温も高くなつこの季節！こまめな水分（２０分に１回、一口）休憩も取りつつ、
メリハリ（切換）をつけてトライしていこう</t>
    <rPh sb="0" eb="2">
      <t>キオン</t>
    </rPh>
    <rPh sb="3" eb="4">
      <t>タカ</t>
    </rPh>
    <rPh sb="9" eb="11">
      <t>キセツ</t>
    </rPh>
    <rPh sb="16" eb="18">
      <t>スイブン</t>
    </rPh>
    <rPh sb="21" eb="22">
      <t>フン</t>
    </rPh>
    <rPh sb="24" eb="25">
      <t>カイ</t>
    </rPh>
    <rPh sb="26" eb="28">
      <t>ヒトクチ</t>
    </rPh>
    <rPh sb="29" eb="31">
      <t>キュウケイ</t>
    </rPh>
    <rPh sb="32" eb="33">
      <t>ト</t>
    </rPh>
    <rPh sb="43" eb="45">
      <t>キリカエ</t>
    </rPh>
    <phoneticPr fontId="6"/>
  </si>
  <si>
    <t>レベル</t>
  </si>
  <si>
    <r>
      <t>[全米テニス協会評価プログラム]　ガイドライン</t>
    </r>
    <r>
      <rPr>
        <sz val="11"/>
        <color rgb="FF3300CC"/>
        <rFont val="HG丸ｺﾞｼｯｸM-PRO"/>
        <family val="3"/>
        <charset val="128"/>
      </rPr>
      <t>　</t>
    </r>
  </si>
  <si>
    <t>テニスを始めたばかり</t>
  </si>
  <si>
    <t>ボールをつないだ練習ができる</t>
  </si>
  <si>
    <t>ゲームができてシングルス、ダブルス、カウントが理解できる</t>
  </si>
  <si>
    <t>同レベルの相手と深いラリーが続けられる</t>
  </si>
  <si>
    <t>深いストロークを打てるがダブルスのゲームは雁行陣のまま</t>
  </si>
  <si>
    <t>積極的に平行陣を敷いてコートカバーが広がる　</t>
  </si>
  <si>
    <t>（スクール中級者）</t>
  </si>
  <si>
    <t>フォア、バックとも打球の方向、深さのコントロールがあり、
時にはサービスエースが取れる　</t>
    <phoneticPr fontId="6"/>
  </si>
  <si>
    <t>（スクール上級者）</t>
  </si>
  <si>
    <t>パワーとスピンを使い分け安定したフットワークを持ち
チャンスボールを逃さない　</t>
    <phoneticPr fontId="6"/>
  </si>
  <si>
    <t>（草トーナメント
初中級覇者）</t>
    <phoneticPr fontId="6"/>
  </si>
  <si>
    <t>優れたショットを持ちそれを中心にゲームを組み立て、ロブ、ドロップショット、
オーバーヘットスマッシュを使い分けてゲームができる　</t>
    <phoneticPr fontId="6"/>
  </si>
  <si>
    <t>パワーと粘り強さを持ちピンチの局面打開に優れる</t>
  </si>
  <si>
    <t>集中トレーニングを積み全国トーナメントに出場ランキング入賞者</t>
  </si>
  <si>
    <t>海外トーナメントで賞金を得る</t>
  </si>
  <si>
    <t>トーナメントの賞金で生計をたてている</t>
  </si>
  <si>
    <t>夏本番です！気温湿度も高く熱中症対策を徹底しましょう！
こまめな水分（１５～２０分に１回、一口、大量に一度に飲まない）休憩時間は日陰で休む！
メリハリ（切換）をつけて体力をつけていこう</t>
    <rPh sb="0" eb="3">
      <t>ナツホンバン</t>
    </rPh>
    <rPh sb="6" eb="8">
      <t>キオン</t>
    </rPh>
    <rPh sb="8" eb="10">
      <t>シツド</t>
    </rPh>
    <rPh sb="11" eb="12">
      <t>タカ</t>
    </rPh>
    <rPh sb="13" eb="16">
      <t>ネッチュウショウ</t>
    </rPh>
    <rPh sb="16" eb="18">
      <t>タイサク</t>
    </rPh>
    <rPh sb="19" eb="21">
      <t>テッテイ</t>
    </rPh>
    <rPh sb="32" eb="34">
      <t>スイブン</t>
    </rPh>
    <rPh sb="40" eb="41">
      <t>フン</t>
    </rPh>
    <rPh sb="43" eb="44">
      <t>カイ</t>
    </rPh>
    <rPh sb="45" eb="47">
      <t>ヒトクチ</t>
    </rPh>
    <rPh sb="48" eb="50">
      <t>タイリョウ</t>
    </rPh>
    <rPh sb="51" eb="53">
      <t>イチド</t>
    </rPh>
    <rPh sb="54" eb="55">
      <t>ノ</t>
    </rPh>
    <rPh sb="59" eb="61">
      <t>キュウケイ</t>
    </rPh>
    <rPh sb="61" eb="63">
      <t>ジカン</t>
    </rPh>
    <rPh sb="64" eb="66">
      <t>ヒカゲ</t>
    </rPh>
    <rPh sb="67" eb="68">
      <t>ヤス</t>
    </rPh>
    <rPh sb="76" eb="78">
      <t>キリカエ</t>
    </rPh>
    <rPh sb="83" eb="85">
      <t>タイリョク</t>
    </rPh>
    <phoneticPr fontId="6"/>
  </si>
  <si>
    <t>メリハリ⇒休憩＆回復力</t>
    <rPh sb="5" eb="7">
      <t>キュウケイ</t>
    </rPh>
    <rPh sb="8" eb="10">
      <t>カイフク</t>
    </rPh>
    <rPh sb="10" eb="11">
      <t>チカラ</t>
    </rPh>
    <phoneticPr fontId="6"/>
  </si>
  <si>
    <t>夏本番です！気温湿度も高く熱中症対策を徹底しましょう！
こまめな水分（１５～２０分に１回、一口、大量に一度に飲まない）休憩時間は日陰で休む！
メリハリをつけて体力をつけていこう</t>
    <rPh sb="0" eb="3">
      <t>ナツホンバン</t>
    </rPh>
    <rPh sb="6" eb="8">
      <t>キオン</t>
    </rPh>
    <rPh sb="8" eb="10">
      <t>シツド</t>
    </rPh>
    <rPh sb="11" eb="12">
      <t>タカ</t>
    </rPh>
    <rPh sb="13" eb="16">
      <t>ネッチュウショウ</t>
    </rPh>
    <rPh sb="16" eb="18">
      <t>タイサク</t>
    </rPh>
    <rPh sb="19" eb="21">
      <t>テッテイ</t>
    </rPh>
    <rPh sb="32" eb="34">
      <t>スイブン</t>
    </rPh>
    <rPh sb="40" eb="41">
      <t>フン</t>
    </rPh>
    <rPh sb="43" eb="44">
      <t>カイ</t>
    </rPh>
    <rPh sb="45" eb="47">
      <t>ヒトクチ</t>
    </rPh>
    <rPh sb="48" eb="50">
      <t>タイリョウ</t>
    </rPh>
    <rPh sb="51" eb="53">
      <t>イチド</t>
    </rPh>
    <rPh sb="54" eb="55">
      <t>ノ</t>
    </rPh>
    <rPh sb="59" eb="61">
      <t>キュウケイ</t>
    </rPh>
    <rPh sb="61" eb="63">
      <t>ジカン</t>
    </rPh>
    <rPh sb="64" eb="66">
      <t>ヒカゲ</t>
    </rPh>
    <rPh sb="67" eb="68">
      <t>ヤス</t>
    </rPh>
    <rPh sb="79" eb="81">
      <t>タイリョク</t>
    </rPh>
    <phoneticPr fontId="6"/>
  </si>
  <si>
    <t>テーマ</t>
  </si>
  <si>
    <t>残暑から秋に向かい、スポーツ、読書、勉強、旅行と何をやっても気持ちい気候ですね！
夏の酷暑で体力が落ちたところ或いは逆についた体力？含め体力作りをしていきましょう！そして色々なジャンルを楽しんで行きましょう！俊敏性は何も体を早く反応させるだけではないですから（笑）
こまめな水分（１５～２０分に１回、一口、大量に一度に飲まない）休憩時間は日陰で休む！</t>
    <rPh sb="0" eb="2">
      <t>ザンショ</t>
    </rPh>
    <rPh sb="4" eb="5">
      <t>アキ</t>
    </rPh>
    <rPh sb="6" eb="7">
      <t>ム</t>
    </rPh>
    <rPh sb="15" eb="17">
      <t>ドクショ</t>
    </rPh>
    <rPh sb="18" eb="20">
      <t>ベンキョウ</t>
    </rPh>
    <rPh sb="21" eb="23">
      <t>リョコウ</t>
    </rPh>
    <rPh sb="24" eb="25">
      <t>ナニ</t>
    </rPh>
    <rPh sb="30" eb="32">
      <t>キモ</t>
    </rPh>
    <rPh sb="34" eb="36">
      <t>キコウ</t>
    </rPh>
    <rPh sb="41" eb="42">
      <t>ナツ</t>
    </rPh>
    <rPh sb="43" eb="45">
      <t>コクショ</t>
    </rPh>
    <rPh sb="46" eb="48">
      <t>タイリョク</t>
    </rPh>
    <rPh sb="49" eb="50">
      <t>オ</t>
    </rPh>
    <rPh sb="55" eb="56">
      <t>アル</t>
    </rPh>
    <rPh sb="58" eb="59">
      <t>ギャク</t>
    </rPh>
    <rPh sb="63" eb="65">
      <t>タイリョク</t>
    </rPh>
    <rPh sb="66" eb="67">
      <t>フク</t>
    </rPh>
    <rPh sb="68" eb="70">
      <t>タイリョク</t>
    </rPh>
    <rPh sb="70" eb="71">
      <t>ツク</t>
    </rPh>
    <rPh sb="85" eb="87">
      <t>イロイロ</t>
    </rPh>
    <rPh sb="93" eb="94">
      <t>タノ</t>
    </rPh>
    <rPh sb="97" eb="98">
      <t>イ</t>
    </rPh>
    <rPh sb="104" eb="107">
      <t>シュンビンセイ</t>
    </rPh>
    <rPh sb="108" eb="109">
      <t>ナニ</t>
    </rPh>
    <rPh sb="110" eb="111">
      <t>カラダ</t>
    </rPh>
    <rPh sb="112" eb="113">
      <t>ハヤ</t>
    </rPh>
    <rPh sb="114" eb="116">
      <t>ハンノウ</t>
    </rPh>
    <rPh sb="129" eb="132">
      <t>ワライ</t>
    </rPh>
    <rPh sb="137" eb="139">
      <t>スイブン</t>
    </rPh>
    <rPh sb="145" eb="146">
      <t>フン</t>
    </rPh>
    <rPh sb="148" eb="149">
      <t>カイ</t>
    </rPh>
    <rPh sb="150" eb="152">
      <t>ヒトクチ</t>
    </rPh>
    <rPh sb="153" eb="155">
      <t>タイリョウ</t>
    </rPh>
    <rPh sb="156" eb="158">
      <t>イチド</t>
    </rPh>
    <rPh sb="159" eb="160">
      <t>ノ</t>
    </rPh>
    <rPh sb="164" eb="166">
      <t>キュウケイ</t>
    </rPh>
    <rPh sb="166" eb="168">
      <t>ジカン</t>
    </rPh>
    <rPh sb="169" eb="171">
      <t>ヒカゲ</t>
    </rPh>
    <rPh sb="172" eb="173">
      <t>ヤス</t>
    </rPh>
    <phoneticPr fontId="6"/>
  </si>
  <si>
    <t>体力増強＆俊敏性向上</t>
    <rPh sb="0" eb="2">
      <t>タイリョク</t>
    </rPh>
    <rPh sb="2" eb="4">
      <t>ゾウキョウ</t>
    </rPh>
    <rPh sb="5" eb="8">
      <t>シュンビンセイ</t>
    </rPh>
    <rPh sb="8" eb="10">
      <t>コウジョウ</t>
    </rPh>
    <phoneticPr fontId="6"/>
  </si>
  <si>
    <t>●●の秋／あなたは●●をどうしたい</t>
    <rPh sb="3" eb="4">
      <t>アキ</t>
    </rPh>
    <phoneticPr fontId="6"/>
  </si>
  <si>
    <t>コンディショニングトレーング</t>
    <phoneticPr fontId="6"/>
  </si>
  <si>
    <r>
      <t>持久力（遅筋）を鍛える（12～</t>
    </r>
    <r>
      <rPr>
        <sz val="24"/>
        <rFont val="Meiryo UI"/>
        <family val="3"/>
      </rPr>
      <t>2</t>
    </r>
    <r>
      <rPr>
        <sz val="24"/>
        <rFont val="Meiryo UI"/>
        <family val="3"/>
        <charset val="128"/>
      </rPr>
      <t>月）</t>
    </r>
    <rPh sb="0" eb="3">
      <t>ジキュウリョク</t>
    </rPh>
    <rPh sb="4" eb="6">
      <t>チキン</t>
    </rPh>
    <rPh sb="8" eb="9">
      <t>キタ</t>
    </rPh>
    <rPh sb="16" eb="17">
      <t>ツキ</t>
    </rPh>
    <phoneticPr fontId="6"/>
  </si>
  <si>
    <t>冬季（１２～２月目安）
主に遅筋（持久力）トレーニング、有酸素運動等を行います
持久走、縄跳び、サッカー、ラグビー（パス回し）、低負荷且つスロー筋肉トレーニング等を取り組む</t>
    <rPh sb="14" eb="16">
      <t>チキン</t>
    </rPh>
    <rPh sb="40" eb="43">
      <t>ジキュウソウ</t>
    </rPh>
    <rPh sb="44" eb="46">
      <t>ナワト</t>
    </rPh>
    <rPh sb="60" eb="61">
      <t>マワ</t>
    </rPh>
    <rPh sb="64" eb="67">
      <t>テイフカ</t>
    </rPh>
    <rPh sb="67" eb="68">
      <t>カ</t>
    </rPh>
    <rPh sb="72" eb="74">
      <t>キンニク</t>
    </rPh>
    <rPh sb="80" eb="81">
      <t>ナド</t>
    </rPh>
    <rPh sb="82" eb="83">
      <t>ト</t>
    </rPh>
    <rPh sb="84" eb="85">
      <t>ク</t>
    </rPh>
    <phoneticPr fontId="6"/>
  </si>
  <si>
    <t>・</t>
    <phoneticPr fontId="39"/>
  </si>
  <si>
    <t>災害時等、甲の責に帰さない場合はレッスンを中止とします。その場合は原則、当該月の翌月迄に振替受講下さい。</t>
    <rPh sb="0" eb="3">
      <t>サイガイジ</t>
    </rPh>
    <rPh sb="3" eb="4">
      <t>ナド</t>
    </rPh>
    <rPh sb="5" eb="6">
      <t>コウ</t>
    </rPh>
    <rPh sb="7" eb="8">
      <t>セキ</t>
    </rPh>
    <rPh sb="9" eb="10">
      <t>カエ</t>
    </rPh>
    <rPh sb="13" eb="15">
      <t>バアイ</t>
    </rPh>
    <rPh sb="21" eb="23">
      <t>チュウシ</t>
    </rPh>
    <rPh sb="30" eb="32">
      <t>バアイ</t>
    </rPh>
    <rPh sb="33" eb="35">
      <t>ゲンソク</t>
    </rPh>
    <rPh sb="36" eb="38">
      <t>トウガイ</t>
    </rPh>
    <rPh sb="38" eb="39">
      <t>ツキ</t>
    </rPh>
    <rPh sb="40" eb="42">
      <t>ヨクゲツ</t>
    </rPh>
    <rPh sb="42" eb="43">
      <t>マデ</t>
    </rPh>
    <rPh sb="44" eb="46">
      <t>フリカエ</t>
    </rPh>
    <rPh sb="46" eb="48">
      <t>ジュコウ</t>
    </rPh>
    <rPh sb="48" eb="49">
      <t>クダ</t>
    </rPh>
    <phoneticPr fontId="39"/>
  </si>
  <si>
    <t>合同クラスは、運動能力と集団行動等の規律性向上を目的とします。特定競技の強化はありません。</t>
    <rPh sb="0" eb="2">
      <t>ゴウドウ</t>
    </rPh>
    <rPh sb="16" eb="17">
      <t>ナド</t>
    </rPh>
    <rPh sb="21" eb="23">
      <t>コウジョウ</t>
    </rPh>
    <rPh sb="24" eb="26">
      <t>モクテキ</t>
    </rPh>
    <rPh sb="31" eb="33">
      <t>トクテイ</t>
    </rPh>
    <rPh sb="33" eb="35">
      <t>キョウギ</t>
    </rPh>
    <rPh sb="36" eb="38">
      <t>キョウカ</t>
    </rPh>
    <phoneticPr fontId="39"/>
  </si>
  <si>
    <t>活動場所は学校活動が優先となるためその場合は予定は変更となります。その際は別途会員様へご連絡致します。</t>
    <rPh sb="0" eb="2">
      <t>カツドウ</t>
    </rPh>
    <rPh sb="2" eb="4">
      <t>バショ</t>
    </rPh>
    <rPh sb="5" eb="7">
      <t>ガッコウ</t>
    </rPh>
    <rPh sb="7" eb="9">
      <t>カツドウ</t>
    </rPh>
    <rPh sb="10" eb="12">
      <t>ユウセン</t>
    </rPh>
    <rPh sb="19" eb="21">
      <t>バアイ</t>
    </rPh>
    <rPh sb="22" eb="24">
      <t>ヨテイ</t>
    </rPh>
    <rPh sb="25" eb="27">
      <t>ヘンコウ</t>
    </rPh>
    <rPh sb="35" eb="36">
      <t>サイ</t>
    </rPh>
    <rPh sb="37" eb="39">
      <t>ベット</t>
    </rPh>
    <rPh sb="39" eb="41">
      <t>カイイン</t>
    </rPh>
    <rPh sb="41" eb="42">
      <t>サマ</t>
    </rPh>
    <rPh sb="44" eb="46">
      <t>レンラク</t>
    </rPh>
    <rPh sb="46" eb="47">
      <t>イタ</t>
    </rPh>
    <phoneticPr fontId="39"/>
  </si>
  <si>
    <t>注意事項</t>
    <rPh sb="0" eb="2">
      <t>チュウイ</t>
    </rPh>
    <rPh sb="2" eb="4">
      <t>ジコウ</t>
    </rPh>
    <phoneticPr fontId="39"/>
  </si>
  <si>
    <t>本牧中　or
大鳥中
コミニティハウス</t>
    <rPh sb="0" eb="2">
      <t>ホンモク</t>
    </rPh>
    <rPh sb="2" eb="3">
      <t>ナカ</t>
    </rPh>
    <rPh sb="7" eb="9">
      <t>オオトリ</t>
    </rPh>
    <rPh sb="9" eb="10">
      <t>ナカ</t>
    </rPh>
    <phoneticPr fontId="39"/>
  </si>
  <si>
    <t>17:００～20:45</t>
    <phoneticPr fontId="39"/>
  </si>
  <si>
    <t>10:30～12:00</t>
    <phoneticPr fontId="39"/>
  </si>
  <si>
    <t>合同</t>
    <rPh sb="0" eb="2">
      <t>ゴウドウ</t>
    </rPh>
    <phoneticPr fontId="39"/>
  </si>
  <si>
    <t>9:00～10:00</t>
    <phoneticPr fontId="39"/>
  </si>
  <si>
    <t>レベル</t>
    <phoneticPr fontId="39"/>
  </si>
  <si>
    <t>クラス</t>
    <phoneticPr fontId="39"/>
  </si>
  <si>
    <t>活動
施設</t>
    <rPh sb="0" eb="2">
      <t>カツドウ</t>
    </rPh>
    <rPh sb="3" eb="5">
      <t>シセツ</t>
    </rPh>
    <phoneticPr fontId="39"/>
  </si>
  <si>
    <t>時間</t>
    <rPh sb="0" eb="2">
      <t>ジカン</t>
    </rPh>
    <phoneticPr fontId="39"/>
  </si>
  <si>
    <t>日</t>
  </si>
  <si>
    <t>土</t>
  </si>
  <si>
    <t>テニス</t>
    <phoneticPr fontId="39"/>
  </si>
  <si>
    <t>特別学習コース※</t>
    <rPh sb="0" eb="2">
      <t>トクベツ</t>
    </rPh>
    <rPh sb="2" eb="4">
      <t>ガクシュウ</t>
    </rPh>
    <phoneticPr fontId="39"/>
  </si>
  <si>
    <t>※オンライン受講も対応中</t>
    <rPh sb="6" eb="8">
      <t>ジュコウ</t>
    </rPh>
    <rPh sb="9" eb="11">
      <t>タイオウ</t>
    </rPh>
    <rPh sb="11" eb="12">
      <t>ナカ</t>
    </rPh>
    <phoneticPr fontId="6"/>
  </si>
  <si>
    <t>ゲーミケーション　傾聴力・集中力・判断力</t>
    <rPh sb="9" eb="12">
      <t>ケイチョウリョク</t>
    </rPh>
    <rPh sb="13" eb="16">
      <t>シュウチュウリョク</t>
    </rPh>
    <rPh sb="17" eb="19">
      <t>ハンダン</t>
    </rPh>
    <rPh sb="19" eb="20">
      <t>リョク</t>
    </rPh>
    <phoneticPr fontId="6"/>
  </si>
  <si>
    <t>新年度スタート：リアルゲームでコミュニケーションを取りながら楽しんで行きましょう！
ゲームのルール説明はしっかり聞こう！</t>
    <rPh sb="0" eb="3">
      <t>シンネンド</t>
    </rPh>
    <rPh sb="25" eb="26">
      <t>ト</t>
    </rPh>
    <rPh sb="30" eb="31">
      <t>タノ</t>
    </rPh>
    <rPh sb="34" eb="35">
      <t>イ</t>
    </rPh>
    <rPh sb="49" eb="51">
      <t>セツメイ</t>
    </rPh>
    <rPh sb="56" eb="57">
      <t>キ</t>
    </rPh>
    <phoneticPr fontId="6"/>
  </si>
  <si>
    <t>ゲーミケーション　傾聴力・集中力・判断力／フットワーク・キャッチ・ラケットワーク</t>
    <rPh sb="9" eb="12">
      <t>ケイチョウリョク</t>
    </rPh>
    <rPh sb="13" eb="16">
      <t>シュウチュウリョク</t>
    </rPh>
    <rPh sb="17" eb="19">
      <t>ハンダン</t>
    </rPh>
    <rPh sb="19" eb="20">
      <t>リョク</t>
    </rPh>
    <phoneticPr fontId="6"/>
  </si>
  <si>
    <t>学校教育法
による部活動</t>
    <rPh sb="0" eb="2">
      <t>ガッコウ</t>
    </rPh>
    <rPh sb="2" eb="4">
      <t>キョウイク</t>
    </rPh>
    <rPh sb="4" eb="5">
      <t>ホウ</t>
    </rPh>
    <rPh sb="9" eb="12">
      <t>ブカツドウ</t>
    </rPh>
    <phoneticPr fontId="6"/>
  </si>
  <si>
    <t>小６～
中３</t>
    <rPh sb="0" eb="1">
      <t>ショウ</t>
    </rPh>
    <rPh sb="4" eb="5">
      <t>ナカ</t>
    </rPh>
    <phoneticPr fontId="6"/>
  </si>
  <si>
    <t>12:00～13:00</t>
    <phoneticPr fontId="39"/>
  </si>
  <si>
    <t>13:00～14:00</t>
    <phoneticPr fontId="39"/>
  </si>
  <si>
    <t>14:00～15:00</t>
    <phoneticPr fontId="39"/>
  </si>
  <si>
    <t>15:00～16:00</t>
    <phoneticPr fontId="39"/>
  </si>
  <si>
    <t>16:00～17:00</t>
    <phoneticPr fontId="39"/>
  </si>
  <si>
    <t>学校開放事業枠</t>
    <rPh sb="0" eb="2">
      <t>ガッコウ</t>
    </rPh>
    <rPh sb="2" eb="4">
      <t>カイホウ</t>
    </rPh>
    <rPh sb="4" eb="6">
      <t>ジギョウ</t>
    </rPh>
    <rPh sb="6" eb="7">
      <t>ワク</t>
    </rPh>
    <phoneticPr fontId="6"/>
  </si>
  <si>
    <t>大鳥中学校
テニスコート</t>
    <rPh sb="0" eb="2">
      <t>オオトリ</t>
    </rPh>
    <rPh sb="2" eb="3">
      <t>ナカ</t>
    </rPh>
    <rPh sb="3" eb="5">
      <t>ガッコウ</t>
    </rPh>
    <phoneticPr fontId="39"/>
  </si>
  <si>
    <t>悪天候時は、振替当該月の翌月迄に振替下さい。振替日時は別途学校開放事業内或いは別施設で行います。</t>
    <rPh sb="0" eb="3">
      <t>アクテンコウ</t>
    </rPh>
    <rPh sb="3" eb="4">
      <t>ジ</t>
    </rPh>
    <rPh sb="6" eb="8">
      <t>フリカエ</t>
    </rPh>
    <rPh sb="8" eb="10">
      <t>トウガイ</t>
    </rPh>
    <rPh sb="10" eb="11">
      <t>ヅキ</t>
    </rPh>
    <rPh sb="12" eb="14">
      <t>ヨクゲツ</t>
    </rPh>
    <rPh sb="14" eb="15">
      <t>マデ</t>
    </rPh>
    <rPh sb="16" eb="18">
      <t>フリカエ</t>
    </rPh>
    <rPh sb="18" eb="19">
      <t>クダ</t>
    </rPh>
    <rPh sb="22" eb="24">
      <t>フリカエ</t>
    </rPh>
    <rPh sb="24" eb="26">
      <t>ニチジ</t>
    </rPh>
    <rPh sb="27" eb="29">
      <t>ベット</t>
    </rPh>
    <rPh sb="29" eb="31">
      <t>ガッコウ</t>
    </rPh>
    <rPh sb="31" eb="33">
      <t>カイホウ</t>
    </rPh>
    <rPh sb="33" eb="35">
      <t>ジギョウ</t>
    </rPh>
    <rPh sb="35" eb="36">
      <t>ナイ</t>
    </rPh>
    <rPh sb="36" eb="37">
      <t>アル</t>
    </rPh>
    <rPh sb="39" eb="40">
      <t>ベツ</t>
    </rPh>
    <rPh sb="40" eb="42">
      <t>シセツ</t>
    </rPh>
    <rPh sb="43" eb="44">
      <t>オコナ</t>
    </rPh>
    <phoneticPr fontId="39"/>
  </si>
  <si>
    <t>HRacademy（脳科学、心理学、解剖学、栄養学、人生成功哲学等）</t>
    <rPh sb="10" eb="13">
      <t>ノウカガク</t>
    </rPh>
    <rPh sb="14" eb="17">
      <t>シンリガク</t>
    </rPh>
    <rPh sb="18" eb="21">
      <t>カイボウガク</t>
    </rPh>
    <rPh sb="22" eb="25">
      <t>エイヨウガク</t>
    </rPh>
    <rPh sb="26" eb="28">
      <t>ジンセイ</t>
    </rPh>
    <rPh sb="28" eb="30">
      <t>セイコウ</t>
    </rPh>
    <rPh sb="30" eb="32">
      <t>テツガク</t>
    </rPh>
    <rPh sb="32" eb="33">
      <t>ナド</t>
    </rPh>
    <phoneticPr fontId="6"/>
  </si>
  <si>
    <t>BusinessDesign（起業家教育）</t>
    <rPh sb="15" eb="18">
      <t>キギョウカ</t>
    </rPh>
    <rPh sb="18" eb="20">
      <t>キョウイク</t>
    </rPh>
    <phoneticPr fontId="6"/>
  </si>
  <si>
    <t>FinancialSchool（経済、金融）資産形成</t>
    <rPh sb="16" eb="18">
      <t>ケイザイ</t>
    </rPh>
    <rPh sb="19" eb="21">
      <t>キンユウ</t>
    </rPh>
    <rPh sb="22" eb="26">
      <t>シサンケイセイ</t>
    </rPh>
    <phoneticPr fontId="6"/>
  </si>
  <si>
    <t>特別学習コースはELSAが提供している人材育成カリキュラムの各種セミナーとなります。（別途費用）</t>
    <rPh sb="0" eb="2">
      <t>トクベツ</t>
    </rPh>
    <rPh sb="2" eb="4">
      <t>ガクシュウ</t>
    </rPh>
    <rPh sb="13" eb="15">
      <t>テイキョウ</t>
    </rPh>
    <rPh sb="19" eb="21">
      <t>ジンザイ</t>
    </rPh>
    <rPh sb="21" eb="23">
      <t>イクセイ</t>
    </rPh>
    <rPh sb="30" eb="32">
      <t>カクシュ</t>
    </rPh>
    <rPh sb="43" eb="45">
      <t>ベット</t>
    </rPh>
    <rPh sb="45" eb="47">
      <t>ヒヨウ</t>
    </rPh>
    <phoneticPr fontId="39"/>
  </si>
  <si>
    <t>４月に出来た事を振返り、自分のノートに記録した事を一つ一つ思い返してみよう。</t>
    <rPh sb="1" eb="2">
      <t>ツキ</t>
    </rPh>
    <rPh sb="3" eb="5">
      <t>デキ</t>
    </rPh>
    <rPh sb="6" eb="7">
      <t>コト</t>
    </rPh>
    <rPh sb="8" eb="10">
      <t>フリカエ</t>
    </rPh>
    <rPh sb="12" eb="14">
      <t>ジブン</t>
    </rPh>
    <rPh sb="19" eb="21">
      <t>キロク</t>
    </rPh>
    <rPh sb="23" eb="24">
      <t>コト</t>
    </rPh>
    <rPh sb="25" eb="26">
      <t>ヒト</t>
    </rPh>
    <rPh sb="27" eb="28">
      <t>ヒト</t>
    </rPh>
    <rPh sb="29" eb="30">
      <t>オモ</t>
    </rPh>
    <rPh sb="31" eb="32">
      <t>カエ</t>
    </rPh>
    <phoneticPr fontId="6"/>
  </si>
  <si>
    <t>Run＆Catch　➡メリハリ＆小まめな水分補給</t>
    <rPh sb="16" eb="17">
      <t>コ</t>
    </rPh>
    <rPh sb="20" eb="22">
      <t>スイブン</t>
    </rPh>
    <rPh sb="22" eb="24">
      <t>ホキュウ</t>
    </rPh>
    <phoneticPr fontId="6"/>
  </si>
  <si>
    <t>休み</t>
    <rPh sb="0" eb="1">
      <t>ヤス</t>
    </rPh>
    <phoneticPr fontId="6"/>
  </si>
  <si>
    <t>冬に向けて体全身を効果的に刺激し、同時に脳も刺激してグッスリ寝れるように！
体力免疫力UP・脳活を確り行って行きましょう！笑！</t>
    <rPh sb="0" eb="1">
      <t>フユ</t>
    </rPh>
    <rPh sb="2" eb="3">
      <t>ム</t>
    </rPh>
    <rPh sb="30" eb="31">
      <t>ネ</t>
    </rPh>
    <rPh sb="38" eb="40">
      <t>タイリョク</t>
    </rPh>
    <rPh sb="40" eb="43">
      <t>メンエキリョク</t>
    </rPh>
    <rPh sb="46" eb="48">
      <t>ノウカツ</t>
    </rPh>
    <rPh sb="49" eb="50">
      <t>シッカ</t>
    </rPh>
    <rPh sb="51" eb="52">
      <t>オコナ</t>
    </rPh>
    <rPh sb="54" eb="55">
      <t>イ</t>
    </rPh>
    <rPh sb="61" eb="62">
      <t>ワライ</t>
    </rPh>
    <phoneticPr fontId="6"/>
  </si>
  <si>
    <r>
      <rPr>
        <sz val="14"/>
        <rFont val="Meiryo UI"/>
        <family val="3"/>
        <charset val="128"/>
      </rPr>
      <t>合同クラス</t>
    </r>
    <r>
      <rPr>
        <sz val="10"/>
        <rFont val="Meiryo UI"/>
        <family val="3"/>
        <charset val="128"/>
      </rPr>
      <t xml:space="preserve">
９：００～１０：００
</t>
    </r>
    <r>
      <rPr>
        <sz val="14"/>
        <rFont val="Meiryo UI"/>
        <family val="3"/>
        <charset val="128"/>
      </rPr>
      <t>テニスクラス：</t>
    </r>
    <r>
      <rPr>
        <sz val="11"/>
        <rFont val="Meiryo UI"/>
        <family val="3"/>
        <charset val="128"/>
      </rPr>
      <t xml:space="preserve">
１０：３０～１２：００</t>
    </r>
    <rPh sb="0" eb="2">
      <t>ゴウドウ</t>
    </rPh>
    <phoneticPr fontId="13"/>
  </si>
  <si>
    <r>
      <rPr>
        <sz val="14"/>
        <rFont val="Meiryo UI"/>
        <family val="3"/>
        <charset val="128"/>
      </rPr>
      <t>合同クラス</t>
    </r>
    <r>
      <rPr>
        <sz val="10"/>
        <rFont val="Meiryo UI"/>
        <family val="3"/>
        <charset val="128"/>
      </rPr>
      <t xml:space="preserve">
１１：００～１２：００</t>
    </r>
    <rPh sb="0" eb="2">
      <t>ゴウドウ</t>
    </rPh>
    <phoneticPr fontId="13"/>
  </si>
  <si>
    <t>９：００～１２：００</t>
    <phoneticPr fontId="13"/>
  </si>
  <si>
    <t>14：00～15：30
特別クラス</t>
    <rPh sb="12" eb="14">
      <t>トクベツ</t>
    </rPh>
    <phoneticPr fontId="6"/>
  </si>
  <si>
    <t>ベイサイド本牧スポーツアカデミー／基本週間活動予定表</t>
    <rPh sb="5" eb="7">
      <t>ホンモク</t>
    </rPh>
    <rPh sb="17" eb="19">
      <t>キホン</t>
    </rPh>
    <rPh sb="19" eb="21">
      <t>シュウカン</t>
    </rPh>
    <rPh sb="21" eb="23">
      <t>カツドウ</t>
    </rPh>
    <rPh sb="23" eb="25">
      <t>ヨテイ</t>
    </rPh>
    <rPh sb="25" eb="26">
      <t>ヒョウ</t>
    </rPh>
    <phoneticPr fontId="39"/>
  </si>
  <si>
    <t>1８:００～20:45</t>
    <phoneticPr fontId="39"/>
  </si>
  <si>
    <t>17:00～1８:00</t>
    <phoneticPr fontId="39"/>
  </si>
  <si>
    <t>ベイサイド本牧スポーツアカデミー／24年4月移行の基本活動予定表</t>
    <rPh sb="5" eb="7">
      <t>ホンモク</t>
    </rPh>
    <rPh sb="19" eb="20">
      <t>ネン</t>
    </rPh>
    <rPh sb="21" eb="22">
      <t>ツキ</t>
    </rPh>
    <rPh sb="22" eb="24">
      <t>イコウ</t>
    </rPh>
    <rPh sb="25" eb="27">
      <t>キホン</t>
    </rPh>
    <rPh sb="27" eb="29">
      <t>カツドウ</t>
    </rPh>
    <rPh sb="29" eb="31">
      <t>ヨテイ</t>
    </rPh>
    <rPh sb="31" eb="32">
      <t>ヒョウ</t>
    </rPh>
    <phoneticPr fontId="39"/>
  </si>
  <si>
    <t>13:00～14:00
❶コンディショニングトレーニング
※休憩
14:30～16:00
❷テニス
以降合同練習会の場合有</t>
    <rPh sb="30" eb="32">
      <t>キュウケイ</t>
    </rPh>
    <rPh sb="50" eb="52">
      <t>イコウ</t>
    </rPh>
    <rPh sb="52" eb="54">
      <t>ゴウドウ</t>
    </rPh>
    <rPh sb="54" eb="56">
      <t>レンシュウ</t>
    </rPh>
    <rPh sb="56" eb="57">
      <t>カイ</t>
    </rPh>
    <rPh sb="58" eb="60">
      <t>バアイ</t>
    </rPh>
    <rPh sb="60" eb="61">
      <t>アリ</t>
    </rPh>
    <phoneticPr fontId="6"/>
  </si>
  <si>
    <t>大会開催時は各クラス休会となります
但し、会員生徒は大会開催時間以外で
行う練習会への参加は可能です。</t>
    <rPh sb="0" eb="2">
      <t>タイカイ</t>
    </rPh>
    <rPh sb="2" eb="4">
      <t>カイサイ</t>
    </rPh>
    <rPh sb="4" eb="5">
      <t>ジ</t>
    </rPh>
    <rPh sb="6" eb="7">
      <t>カク</t>
    </rPh>
    <rPh sb="10" eb="12">
      <t>キュウカイ</t>
    </rPh>
    <rPh sb="18" eb="19">
      <t>タダ</t>
    </rPh>
    <rPh sb="21" eb="23">
      <t>カイイン</t>
    </rPh>
    <rPh sb="23" eb="25">
      <t>セイト</t>
    </rPh>
    <rPh sb="26" eb="28">
      <t>タイカイ</t>
    </rPh>
    <rPh sb="28" eb="30">
      <t>カイサイ</t>
    </rPh>
    <rPh sb="30" eb="32">
      <t>ジカン</t>
    </rPh>
    <rPh sb="32" eb="34">
      <t>イガイ</t>
    </rPh>
    <rPh sb="36" eb="37">
      <t>オコナ</t>
    </rPh>
    <rPh sb="38" eb="40">
      <t>レンシュウ</t>
    </rPh>
    <rPh sb="40" eb="41">
      <t>カイ</t>
    </rPh>
    <rPh sb="43" eb="45">
      <t>サンカ</t>
    </rPh>
    <rPh sb="46" eb="48">
      <t>カノウ</t>
    </rPh>
    <phoneticPr fontId="6"/>
  </si>
  <si>
    <t xml:space="preserve">９：００～１２：００
</t>
    <phoneticPr fontId="13"/>
  </si>
  <si>
    <t>新年度に向けて新しい仲間も増える？この時期
ゲームで傾聴力・集中力・判断力を鍛えコミュニケーションを取りながら楽しんで行きましょう！
ゲームのルール説明はしっかり聞こうね！</t>
    <rPh sb="0" eb="3">
      <t>シンネンド</t>
    </rPh>
    <rPh sb="4" eb="5">
      <t>ム</t>
    </rPh>
    <rPh sb="7" eb="8">
      <t>アタラ</t>
    </rPh>
    <rPh sb="10" eb="12">
      <t>ナカマ</t>
    </rPh>
    <rPh sb="13" eb="14">
      <t>フ</t>
    </rPh>
    <rPh sb="19" eb="21">
      <t>ジキ</t>
    </rPh>
    <rPh sb="38" eb="39">
      <t>キタ</t>
    </rPh>
    <rPh sb="50" eb="51">
      <t>ト</t>
    </rPh>
    <rPh sb="55" eb="56">
      <t>タノ</t>
    </rPh>
    <rPh sb="59" eb="60">
      <t>イ</t>
    </rPh>
    <rPh sb="74" eb="76">
      <t>セツメイ</t>
    </rPh>
    <rPh sb="81" eb="82">
      <t>キ</t>
    </rPh>
    <phoneticPr fontId="6"/>
  </si>
  <si>
    <t xml:space="preserve">１４：００～１７：３０
</t>
    <phoneticPr fontId="6"/>
  </si>
  <si>
    <t>１４：００～１７：３０</t>
    <phoneticPr fontId="6"/>
  </si>
  <si>
    <t xml:space="preserve">１４：００～１７：３０
</t>
    <phoneticPr fontId="13"/>
  </si>
  <si>
    <t xml:space="preserve">９：００～１７：３０
</t>
    <phoneticPr fontId="6"/>
  </si>
  <si>
    <t xml:space="preserve">９：００～１７：３０
</t>
    <phoneticPr fontId="13"/>
  </si>
  <si>
    <t>ゲーミケーション・大会</t>
    <rPh sb="9" eb="11">
      <t>タイカイ</t>
    </rPh>
    <phoneticPr fontId="6"/>
  </si>
  <si>
    <t>qqk6pkdj</t>
  </si>
  <si>
    <t>zwdt34kk</t>
  </si>
  <si>
    <t>tad4x44v</t>
  </si>
  <si>
    <t>x9bduh3r</t>
  </si>
  <si>
    <t>９:００～１７:００
横浜ジュニアテニスインターナショナルトーナメント</t>
    <rPh sb="11" eb="13">
      <t>ヨコハマ</t>
    </rPh>
    <phoneticPr fontId="6"/>
  </si>
  <si>
    <t>13:00～16:00
体験会</t>
    <rPh sb="12" eb="15">
      <t>タイケンカイ</t>
    </rPh>
    <phoneticPr fontId="13"/>
  </si>
  <si>
    <t>9:00～12:00
体験会</t>
    <rPh sb="11" eb="14">
      <t>タイケンカイ</t>
    </rPh>
    <phoneticPr fontId="13"/>
  </si>
  <si>
    <r>
      <t xml:space="preserve">13:00～16:00
</t>
    </r>
    <r>
      <rPr>
        <strike/>
        <sz val="16"/>
        <color theme="1"/>
        <rFont val="Meiryo UI"/>
        <family val="3"/>
        <charset val="128"/>
      </rPr>
      <t>体験会</t>
    </r>
    <rPh sb="12" eb="15">
      <t>タイケンカイ</t>
    </rPh>
    <phoneticPr fontId="13"/>
  </si>
  <si>
    <t>９：００～
　１２：００</t>
    <phoneticPr fontId="13"/>
  </si>
  <si>
    <t>１３：００～
　１６：００</t>
  </si>
  <si>
    <t>１３：００～
　１６：００</t>
    <phoneticPr fontId="6"/>
  </si>
  <si>
    <t>９：００～
　１２：００</t>
  </si>
  <si>
    <t>１２：３０～
大会開催</t>
    <rPh sb="7" eb="9">
      <t>タイカイ</t>
    </rPh>
    <rPh sb="9" eb="11">
      <t>カイサイ</t>
    </rPh>
    <phoneticPr fontId="6"/>
  </si>
  <si>
    <t>９：００～
１２：００</t>
  </si>
  <si>
    <t>９：００～
１２：００</t>
    <phoneticPr fontId="13"/>
  </si>
  <si>
    <t>９：００～
１２：００</t>
    <phoneticPr fontId="6"/>
  </si>
  <si>
    <t>基本的な運動能力向上①　Run＆Catch</t>
    <rPh sb="0" eb="3">
      <t>キホンテキ</t>
    </rPh>
    <rPh sb="4" eb="6">
      <t>ウンドウ</t>
    </rPh>
    <rPh sb="6" eb="8">
      <t>ノウリョク</t>
    </rPh>
    <rPh sb="8" eb="10">
      <t>コウジョウ</t>
    </rPh>
    <phoneticPr fontId="6"/>
  </si>
  <si>
    <t>１３：００～
　１６：００
初中級～中級</t>
    <rPh sb="14" eb="15">
      <t>ショ</t>
    </rPh>
    <rPh sb="15" eb="17">
      <t>チュウキュウ</t>
    </rPh>
    <rPh sb="18" eb="20">
      <t>チュウキュウ</t>
    </rPh>
    <phoneticPr fontId="6"/>
  </si>
  <si>
    <t>１３：００～
　１６：００
初中級～中級</t>
    <phoneticPr fontId="6"/>
  </si>
  <si>
    <t>９：００～
１２：００
初中級～中級</t>
    <phoneticPr fontId="6"/>
  </si>
  <si>
    <r>
      <t xml:space="preserve">９：００～
１２：００
</t>
    </r>
    <r>
      <rPr>
        <sz val="16"/>
        <color rgb="FFFF0000"/>
        <rFont val="Meiryo UI"/>
        <family val="3"/>
        <charset val="128"/>
      </rPr>
      <t>初心者～初中級</t>
    </r>
    <rPh sb="12" eb="15">
      <t>ショシンシャ</t>
    </rPh>
    <rPh sb="16" eb="17">
      <t>ショ</t>
    </rPh>
    <rPh sb="17" eb="19">
      <t>チュウキュウ</t>
    </rPh>
    <phoneticPr fontId="6"/>
  </si>
  <si>
    <r>
      <t xml:space="preserve">１３：００～
　１６：００
</t>
    </r>
    <r>
      <rPr>
        <sz val="16"/>
        <color rgb="FFFF0000"/>
        <rFont val="Meiryo UI"/>
        <family val="3"/>
        <charset val="128"/>
      </rPr>
      <t>初心者～初中級</t>
    </r>
    <rPh sb="14" eb="17">
      <t>ショシンシャ</t>
    </rPh>
    <rPh sb="18" eb="19">
      <t>ショ</t>
    </rPh>
    <rPh sb="19" eb="21">
      <t>チュウキュウ</t>
    </rPh>
    <phoneticPr fontId="6"/>
  </si>
  <si>
    <r>
      <t xml:space="preserve">９：００～
１２：０２
</t>
    </r>
    <r>
      <rPr>
        <sz val="16"/>
        <color rgb="FFFF0000"/>
        <rFont val="Meiryo UI"/>
        <family val="3"/>
        <charset val="128"/>
      </rPr>
      <t>初心者～初中級</t>
    </r>
    <rPh sb="12" eb="15">
      <t>ショシンシャ</t>
    </rPh>
    <rPh sb="16" eb="17">
      <t>ショ</t>
    </rPh>
    <rPh sb="17" eb="19">
      <t>チュウキュウ</t>
    </rPh>
    <phoneticPr fontId="6"/>
  </si>
  <si>
    <t>テニス（初心者）
13：00
　　　～16：00</t>
    <rPh sb="4" eb="7">
      <t>ショシンシャ</t>
    </rPh>
    <phoneticPr fontId="13"/>
  </si>
  <si>
    <t>テニス（中級）
１３：００～
　１６：００</t>
    <rPh sb="4" eb="6">
      <t>チュウキュウ</t>
    </rPh>
    <phoneticPr fontId="6"/>
  </si>
  <si>
    <t>テニス（初心者）
9：00
　　　～12：00</t>
    <rPh sb="4" eb="7">
      <t>ショシンシャ</t>
    </rPh>
    <phoneticPr fontId="13"/>
  </si>
  <si>
    <t>テニス日
企画持込
大歓迎</t>
    <rPh sb="3" eb="4">
      <t>ヒ</t>
    </rPh>
    <rPh sb="5" eb="7">
      <t>キカク</t>
    </rPh>
    <rPh sb="7" eb="8">
      <t>モ</t>
    </rPh>
    <rPh sb="8" eb="9">
      <t>コ</t>
    </rPh>
    <rPh sb="10" eb="13">
      <t>ダイカンゲイ</t>
    </rPh>
    <phoneticPr fontId="6"/>
  </si>
  <si>
    <t>スポーツ・読書・勉強・食欲・遊びの秋　何よやるにも心地良い季節ですね！
運動会の季節でもある！徒競走の準備、ダンスの振り付けマスターなど色々ありそう！
振替について：初心者クラスを欠席する場合、原則翌月迄に振替受講頂くか、日曜午後枠で活動可能です。</t>
    <rPh sb="5" eb="7">
      <t>ドクショ</t>
    </rPh>
    <rPh sb="8" eb="10">
      <t>ベンキョウ</t>
    </rPh>
    <rPh sb="11" eb="13">
      <t>ショクヨク</t>
    </rPh>
    <rPh sb="14" eb="15">
      <t>アソ</t>
    </rPh>
    <rPh sb="17" eb="18">
      <t>アキ</t>
    </rPh>
    <rPh sb="19" eb="20">
      <t>ナニ</t>
    </rPh>
    <rPh sb="36" eb="38">
      <t>ウンドウ</t>
    </rPh>
    <rPh sb="38" eb="39">
      <t>カイ</t>
    </rPh>
    <rPh sb="40" eb="42">
      <t>キセツ</t>
    </rPh>
    <rPh sb="47" eb="50">
      <t>トキョウソウ</t>
    </rPh>
    <rPh sb="51" eb="53">
      <t>ジュンビ</t>
    </rPh>
    <rPh sb="58" eb="59">
      <t>フ</t>
    </rPh>
    <rPh sb="60" eb="61">
      <t>ツ</t>
    </rPh>
    <rPh sb="68" eb="70">
      <t>イロイロ</t>
    </rPh>
    <rPh sb="76" eb="78">
      <t>フリカエ</t>
    </rPh>
    <rPh sb="83" eb="85">
      <t>ショシン</t>
    </rPh>
    <rPh sb="85" eb="86">
      <t>シャ</t>
    </rPh>
    <rPh sb="90" eb="92">
      <t>ケッセキ</t>
    </rPh>
    <rPh sb="94" eb="96">
      <t>バアイ</t>
    </rPh>
    <rPh sb="97" eb="99">
      <t>ゲンソク</t>
    </rPh>
    <rPh sb="99" eb="101">
      <t>ヨクゲツ</t>
    </rPh>
    <rPh sb="101" eb="102">
      <t>マデ</t>
    </rPh>
    <rPh sb="103" eb="105">
      <t>フリカエ</t>
    </rPh>
    <rPh sb="105" eb="107">
      <t>ジュコウ</t>
    </rPh>
    <rPh sb="107" eb="108">
      <t>イタダ</t>
    </rPh>
    <rPh sb="111" eb="113">
      <t>ニチヨウ</t>
    </rPh>
    <rPh sb="113" eb="115">
      <t>ゴゴ</t>
    </rPh>
    <rPh sb="115" eb="116">
      <t>ワク</t>
    </rPh>
    <rPh sb="117" eb="119">
      <t>カツドウ</t>
    </rPh>
    <rPh sb="119" eb="121">
      <t>カノウ</t>
    </rPh>
    <phoneticPr fontId="6"/>
  </si>
  <si>
    <t>スポーツの日
地域スポーツ
振替日
9：00
　　　～12：00</t>
    <rPh sb="5" eb="6">
      <t>ヒ</t>
    </rPh>
    <rPh sb="7" eb="9">
      <t>チイキ</t>
    </rPh>
    <rPh sb="14" eb="16">
      <t>フリカエ</t>
    </rPh>
    <rPh sb="16" eb="17">
      <t>ヒ</t>
    </rPh>
    <phoneticPr fontId="6"/>
  </si>
  <si>
    <r>
      <t xml:space="preserve">テニス（初心者）
</t>
    </r>
    <r>
      <rPr>
        <sz val="16"/>
        <color rgb="FFFF0000"/>
        <rFont val="Meiryo UI"/>
        <family val="3"/>
        <charset val="128"/>
      </rPr>
      <t>１３：００～
　１６：００</t>
    </r>
    <rPh sb="4" eb="7">
      <t>ショシンシャ</t>
    </rPh>
    <phoneticPr fontId="13"/>
  </si>
  <si>
    <t>第３回
横浜国際テニスジュニア
トーナメント</t>
    <rPh sb="0" eb="1">
      <t>ダイ</t>
    </rPh>
    <rPh sb="2" eb="3">
      <t>カイ</t>
    </rPh>
    <rPh sb="4" eb="6">
      <t>ヨコハマ</t>
    </rPh>
    <rPh sb="6" eb="8">
      <t>コクサイ</t>
    </rPh>
    <phoneticPr fontId="13"/>
  </si>
  <si>
    <t>休み</t>
    <rPh sb="0" eb="1">
      <t>ヤス</t>
    </rPh>
    <phoneticPr fontId="6"/>
  </si>
  <si>
    <t>休み
学校活動日
交友祭</t>
    <rPh sb="0" eb="1">
      <t>ヤス</t>
    </rPh>
    <rPh sb="3" eb="5">
      <t>ガッコウ</t>
    </rPh>
    <rPh sb="5" eb="7">
      <t>カツドウ</t>
    </rPh>
    <rPh sb="7" eb="8">
      <t>ヒ</t>
    </rPh>
    <rPh sb="9" eb="11">
      <t>コウユウ</t>
    </rPh>
    <rPh sb="11" eb="12">
      <t>サイ</t>
    </rPh>
    <phoneticPr fontId="6"/>
  </si>
  <si>
    <t>交流試合
１３:００～</t>
    <rPh sb="0" eb="2">
      <t>コウリュウ</t>
    </rPh>
    <rPh sb="2" eb="4">
      <t>シアイ</t>
    </rPh>
    <phoneticPr fontId="13"/>
  </si>
  <si>
    <t>みんなでテニス
9:00～12:00</t>
    <phoneticPr fontId="6"/>
  </si>
  <si>
    <t>サーキットトレーニング
14:30～16:00</t>
    <phoneticPr fontId="6"/>
  </si>
  <si>
    <t>みんなで打ち納め
9:00～12:00
大掃除有</t>
    <rPh sb="4" eb="5">
      <t>ウ</t>
    </rPh>
    <rPh sb="6" eb="7">
      <t>オサ</t>
    </rPh>
    <rPh sb="20" eb="23">
      <t>オオソウジ</t>
    </rPh>
    <rPh sb="23" eb="24">
      <t>アリ</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</si>
</sst>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d"/>
    <numFmt numFmtId="177" formatCode="mmmm\ yyyy"/>
    <numFmt numFmtId="178" formatCode="mmmm"/>
  </numFmts>
  <fonts count="54">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u/>
      <sz val="12"/>
      <color theme="10"/>
      <name val="Cambria"/>
      <family val="2"/>
      <scheme val="minor"/>
    </font>
    <font>
      <sz val="6"/>
      <name val="ＭＳ Ｐゴシック"/>
      <family val="3"/>
      <charset val="128"/>
      <scheme val="minor"/>
    </font>
    <font>
      <sz val="11"/>
      <name val="Meiryo UI"/>
      <family val="3"/>
      <charset val="128"/>
    </font>
    <font>
      <sz val="11"/>
      <color theme="8"/>
      <name val="Meiryo UI"/>
      <family val="3"/>
      <charset val="128"/>
    </font>
    <font>
      <sz val="12"/>
      <color theme="1"/>
      <name val="Meiryo UI"/>
      <family val="3"/>
      <charset val="128"/>
    </font>
    <font>
      <sz val="24"/>
      <color theme="8"/>
      <name val="Meiryo UI"/>
      <family val="3"/>
      <charset val="128"/>
    </font>
    <font>
      <sz val="40"/>
      <color theme="8"/>
      <name val="Meiryo UI"/>
      <family val="3"/>
      <charset val="128"/>
    </font>
    <font>
      <b/>
      <sz val="9"/>
      <color theme="8"/>
      <name val="Meiryo UI"/>
      <family val="3"/>
      <charset val="128"/>
    </font>
    <font>
      <sz val="28"/>
      <color theme="8" tint="-0.499984740745262"/>
      <name val="Meiryo UI"/>
      <family val="3"/>
      <charset val="128"/>
    </font>
    <font>
      <sz val="10"/>
      <name val="Meiryo UI"/>
      <family val="3"/>
      <charset val="128"/>
    </font>
    <font>
      <sz val="10"/>
      <color theme="9"/>
      <name val="Meiryo UI"/>
      <family val="3"/>
      <charset val="128"/>
    </font>
    <font>
      <b/>
      <sz val="11"/>
      <color theme="8"/>
      <name val="Meiryo UI"/>
      <family val="3"/>
      <charset val="128"/>
    </font>
    <font>
      <sz val="11"/>
      <color theme="0" tint="-0.499984740745262"/>
      <name val="Meiryo UI"/>
      <family val="3"/>
      <charset val="128"/>
    </font>
    <font>
      <u/>
      <sz val="12"/>
      <color theme="10"/>
      <name val="Meiryo UI"/>
      <family val="3"/>
      <charset val="128"/>
    </font>
    <font>
      <sz val="24"/>
      <name val="Meiryo UI"/>
      <family val="3"/>
      <charset val="128"/>
    </font>
    <font>
      <sz val="10"/>
      <color theme="1"/>
      <name val="Meiryo UI"/>
      <family val="3"/>
      <charset val="128"/>
    </font>
    <font>
      <sz val="16"/>
      <color theme="1"/>
      <name val="Meiryo UI"/>
      <family val="3"/>
      <charset val="128"/>
    </font>
    <font>
      <sz val="11"/>
      <color theme="1"/>
      <name val="Meiryo UI"/>
      <family val="3"/>
      <charset val="128"/>
    </font>
    <font>
      <sz val="11"/>
      <color theme="1" tint="0.14996795556505021"/>
      <name val="ＭＳ Ｐゴシック"/>
      <family val="1"/>
      <scheme val="minor"/>
    </font>
    <font>
      <sz val="11"/>
      <color theme="1"/>
      <name val="ＭＳ Ｐゴシック"/>
      <family val="2"/>
      <scheme val="minor"/>
    </font>
    <font>
      <b/>
      <i/>
      <sz val="12"/>
      <color rgb="FFFF00FF"/>
      <name val="HG丸ｺﾞｼｯｸM-PRO"/>
      <family val="3"/>
      <charset val="128"/>
    </font>
    <font>
      <b/>
      <sz val="12"/>
      <color rgb="FF3300CC"/>
      <name val="HG丸ｺﾞｼｯｸM-PRO"/>
      <family val="3"/>
      <charset val="128"/>
    </font>
    <font>
      <sz val="11"/>
      <color rgb="FF3300CC"/>
      <name val="HG丸ｺﾞｼｯｸM-PRO"/>
      <family val="3"/>
      <charset val="128"/>
    </font>
    <font>
      <b/>
      <sz val="11"/>
      <color theme="1"/>
      <name val="HG丸ｺﾞｼｯｸM-PRO"/>
      <family val="3"/>
      <charset val="128"/>
    </font>
    <font>
      <b/>
      <sz val="11"/>
      <color rgb="FFFF0000"/>
      <name val="HG丸ｺﾞｼｯｸM-PRO"/>
      <family val="3"/>
      <charset val="128"/>
    </font>
    <font>
      <sz val="11"/>
      <color theme="1"/>
      <name val="HG丸ｺﾞｼｯｸM-PRO"/>
      <family val="3"/>
      <charset val="128"/>
    </font>
    <font>
      <sz val="10"/>
      <color rgb="FFFF0000"/>
      <name val="Meiryo UI"/>
      <family val="3"/>
      <charset val="128"/>
    </font>
    <font>
      <sz val="14"/>
      <name val="Meiryo UI"/>
      <family val="3"/>
      <charset val="128"/>
    </font>
    <font>
      <sz val="10"/>
      <color theme="9"/>
      <name val="HG丸ｺﾞｼｯｸM-PRO"/>
      <family val="3"/>
      <charset val="128"/>
    </font>
    <font>
      <sz val="11"/>
      <color theme="8"/>
      <name val="HG丸ｺﾞｼｯｸM-PRO"/>
      <family val="3"/>
      <charset val="128"/>
    </font>
    <font>
      <b/>
      <sz val="12"/>
      <color theme="8"/>
      <name val="HG丸ｺﾞｼｯｸM-PRO"/>
      <family val="3"/>
      <charset val="128"/>
    </font>
    <font>
      <sz val="24"/>
      <name val="Meiryo UI"/>
      <family val="3"/>
    </font>
    <font>
      <strike/>
      <sz val="10"/>
      <color theme="9"/>
      <name val="Meiryo UI"/>
      <family val="3"/>
      <charset val="128"/>
    </font>
    <font>
      <sz val="11"/>
      <color theme="1"/>
      <name val="Yu Gothic"/>
      <family val="2"/>
      <scheme val="minor"/>
    </font>
    <font>
      <sz val="6"/>
      <name val="Yu Gothic"/>
      <family val="3"/>
      <charset val="128"/>
      <scheme val="minor"/>
    </font>
    <font>
      <u/>
      <sz val="11"/>
      <color theme="1"/>
      <name val="HG丸ｺﾞｼｯｸM-PRO"/>
      <family val="3"/>
      <charset val="128"/>
    </font>
    <font>
      <sz val="40"/>
      <color rgb="FFFF0000"/>
      <name val="Meiryo UI"/>
      <family val="3"/>
      <charset val="128"/>
    </font>
    <font>
      <sz val="16"/>
      <name val="Meiryo UI"/>
      <family val="3"/>
      <charset val="128"/>
    </font>
    <font>
      <sz val="12"/>
      <name val="Meiryo UI"/>
      <family val="3"/>
      <charset val="128"/>
    </font>
    <font>
      <sz val="12"/>
      <color theme="1"/>
      <name val="HG丸ｺﾞｼｯｸM-PRO"/>
      <family val="3"/>
      <charset val="128"/>
    </font>
    <font>
      <sz val="12"/>
      <name val="HGSｺﾞｼｯｸE"/>
      <family val="3"/>
      <charset val="128"/>
    </font>
    <font>
      <sz val="14"/>
      <name val="HGSｺﾞｼｯｸE"/>
      <family val="3"/>
      <charset val="128"/>
    </font>
    <font>
      <sz val="18"/>
      <name val="Meiryo UI"/>
      <family val="3"/>
      <charset val="128"/>
    </font>
    <font>
      <strike/>
      <sz val="16"/>
      <color theme="1"/>
      <name val="Meiryo UI"/>
      <family val="3"/>
      <charset val="128"/>
    </font>
    <font>
      <strike/>
      <sz val="12"/>
      <color theme="1"/>
      <name val="Meiryo UI"/>
      <family val="3"/>
      <charset val="128"/>
    </font>
    <font>
      <sz val="14"/>
      <color theme="1"/>
      <name val="Meiryo UI"/>
      <family val="3"/>
      <charset val="128"/>
    </font>
    <font>
      <sz val="16"/>
      <color rgb="FFFF0000"/>
      <name val="Meiryo UI"/>
      <family val="3"/>
      <charset val="128"/>
    </font>
    <font>
      <sz val="16"/>
      <name val="HG丸ｺﾞｼｯｸM-PRO"/>
      <family val="3"/>
      <charset val="128"/>
    </font>
    <font>
      <sz val="36"/>
      <color rgb="FFFF0000"/>
      <name val="Meiryo UI"/>
      <family val="3"/>
      <charset val="128"/>
    </font>
  </fonts>
  <fills count="10">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s>
  <borders count="44">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top/>
      <bottom/>
      <diagonal/>
    </border>
    <border>
      <left style="thin">
        <color theme="8"/>
      </left>
      <right/>
      <top/>
      <bottom style="thin">
        <color theme="8"/>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0" tint="-0.14996795556505021"/>
      </left>
      <right style="thin">
        <color theme="0" tint="-0.1499679555650502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n">
        <color auto="1"/>
      </left>
      <right style="thick">
        <color rgb="FFFF0000"/>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style="thick">
        <color rgb="FFFF0000"/>
      </right>
      <top style="thin">
        <color auto="1"/>
      </top>
      <bottom/>
      <diagonal/>
    </border>
    <border>
      <left/>
      <right style="thick">
        <color rgb="FFFF0000"/>
      </right>
      <top/>
      <bottom/>
      <diagonal/>
    </border>
    <border>
      <left style="thick">
        <color rgb="FFFF0000"/>
      </left>
      <right style="thin">
        <color auto="1"/>
      </right>
      <top/>
      <bottom style="thin">
        <color auto="1"/>
      </bottom>
      <diagonal/>
    </border>
    <border>
      <left/>
      <right style="thick">
        <color rgb="FFFF0000"/>
      </right>
      <top/>
      <bottom style="thin">
        <color auto="1"/>
      </bottom>
      <diagonal/>
    </border>
    <border>
      <left/>
      <right/>
      <top/>
      <bottom style="thin">
        <color auto="1"/>
      </bottom>
      <diagonal/>
    </border>
    <border>
      <left style="thin">
        <color auto="1"/>
      </left>
      <right style="thick">
        <color rgb="FFFF0000"/>
      </right>
      <top style="thin">
        <color auto="1"/>
      </top>
      <bottom/>
      <diagonal/>
    </border>
    <border>
      <left/>
      <right/>
      <top style="thin">
        <color auto="1"/>
      </top>
      <bottom/>
      <diagonal/>
    </border>
  </borders>
  <cellStyleXfs count="9">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5" fillId="0" borderId="0" applyNumberFormat="0" applyFill="0" applyBorder="0" applyAlignment="0" applyProtection="0"/>
    <xf numFmtId="0" fontId="23" fillId="6" borderId="15">
      <alignment horizontal="center" vertical="center"/>
    </xf>
    <xf numFmtId="0" fontId="24" fillId="0" borderId="0"/>
    <xf numFmtId="0" fontId="38" fillId="0" borderId="0"/>
  </cellStyleXfs>
  <cellXfs count="141">
    <xf numFmtId="0" fontId="0" fillId="0" borderId="0" xfId="0"/>
    <xf numFmtId="0" fontId="7" fillId="0" borderId="0" xfId="1" applyFont="1"/>
    <xf numFmtId="0" fontId="8" fillId="0" borderId="0" xfId="1" applyFont="1" applyAlignment="1">
      <alignment horizontal="right"/>
    </xf>
    <xf numFmtId="0" fontId="9" fillId="0" borderId="0" xfId="0" applyFont="1"/>
    <xf numFmtId="0" fontId="7" fillId="5" borderId="0" xfId="1" applyFont="1" applyFill="1"/>
    <xf numFmtId="0" fontId="10" fillId="0" borderId="0" xfId="0" applyFont="1" applyAlignment="1">
      <alignment horizontal="right" vertical="top"/>
    </xf>
    <xf numFmtId="0" fontId="12" fillId="0" borderId="2" xfId="2" applyFont="1" applyFill="1" applyBorder="1" applyAlignment="1">
      <alignment horizontal="center" vertical="center"/>
    </xf>
    <xf numFmtId="0" fontId="12" fillId="0" borderId="3" xfId="2" applyFont="1" applyFill="1" applyBorder="1" applyAlignment="1">
      <alignment horizontal="center" vertical="center"/>
    </xf>
    <xf numFmtId="0" fontId="12" fillId="0" borderId="4" xfId="2" applyFont="1" applyFill="1" applyBorder="1" applyAlignment="1">
      <alignment horizontal="center" vertical="center"/>
    </xf>
    <xf numFmtId="178" fontId="9" fillId="0" borderId="0" xfId="0" applyNumberFormat="1" applyFont="1"/>
    <xf numFmtId="176" fontId="8" fillId="4" borderId="8" xfId="1" applyNumberFormat="1" applyFont="1" applyFill="1" applyBorder="1" applyAlignment="1">
      <alignment horizontal="left" vertical="top" wrapText="1"/>
    </xf>
    <xf numFmtId="178" fontId="13" fillId="0" borderId="0" xfId="0" applyNumberFormat="1" applyFont="1" applyAlignment="1">
      <alignment vertical="center" textRotation="90"/>
    </xf>
    <xf numFmtId="0" fontId="14" fillId="0" borderId="0" xfId="1" applyFont="1"/>
    <xf numFmtId="0" fontId="15" fillId="4" borderId="7" xfId="1" applyFont="1" applyFill="1" applyBorder="1" applyAlignment="1">
      <alignment horizontal="center" vertical="top" wrapText="1"/>
    </xf>
    <xf numFmtId="0" fontId="15" fillId="4" borderId="7" xfId="3" applyFont="1" applyFill="1" applyBorder="1" applyAlignment="1">
      <alignment horizontal="center" vertical="top" wrapText="1"/>
    </xf>
    <xf numFmtId="176" fontId="8" fillId="0" borderId="8" xfId="1" applyNumberFormat="1" applyFont="1" applyBorder="1" applyAlignment="1">
      <alignment horizontal="left" vertical="top" wrapText="1"/>
    </xf>
    <xf numFmtId="0" fontId="15" fillId="0" borderId="7" xfId="1" applyFont="1" applyBorder="1" applyAlignment="1">
      <alignment horizontal="center" vertical="top" wrapText="1"/>
    </xf>
    <xf numFmtId="0" fontId="15" fillId="0" borderId="7" xfId="3" applyFont="1" applyFill="1" applyBorder="1" applyAlignment="1">
      <alignment horizontal="center" vertical="top" wrapText="1"/>
    </xf>
    <xf numFmtId="176" fontId="8" fillId="4" borderId="9" xfId="1" applyNumberFormat="1" applyFont="1" applyFill="1" applyBorder="1" applyAlignment="1">
      <alignment horizontal="left" vertical="top" wrapText="1"/>
    </xf>
    <xf numFmtId="176" fontId="8" fillId="0" borderId="9" xfId="1" applyNumberFormat="1" applyFont="1" applyBorder="1" applyAlignment="1">
      <alignment horizontal="left" vertical="top" wrapText="1"/>
    </xf>
    <xf numFmtId="176" fontId="8" fillId="0" borderId="10" xfId="1" applyNumberFormat="1" applyFont="1" applyBorder="1" applyAlignment="1">
      <alignment horizontal="left" vertical="top" wrapText="1"/>
    </xf>
    <xf numFmtId="0" fontId="17" fillId="0" borderId="0" xfId="1" applyFont="1" applyAlignment="1">
      <alignment horizontal="right"/>
    </xf>
    <xf numFmtId="0" fontId="17" fillId="0" borderId="0" xfId="1" applyFont="1" applyAlignment="1">
      <alignment horizontal="center"/>
    </xf>
    <xf numFmtId="0" fontId="18" fillId="0" borderId="0" xfId="5" applyFont="1"/>
    <xf numFmtId="0" fontId="19" fillId="5" borderId="0" xfId="1" applyFont="1" applyFill="1"/>
    <xf numFmtId="0" fontId="20" fillId="4" borderId="7" xfId="3" applyFont="1" applyFill="1" applyBorder="1" applyAlignment="1">
      <alignment horizontal="center" vertical="top" wrapText="1"/>
    </xf>
    <xf numFmtId="0" fontId="20" fillId="0" borderId="7" xfId="3" applyFont="1" applyFill="1" applyBorder="1" applyAlignment="1">
      <alignment horizontal="center" vertical="top" wrapText="1"/>
    </xf>
    <xf numFmtId="176" fontId="22" fillId="4" borderId="9" xfId="1" applyNumberFormat="1" applyFont="1" applyFill="1" applyBorder="1" applyAlignment="1">
      <alignment horizontal="left" vertical="top" wrapText="1"/>
    </xf>
    <xf numFmtId="0" fontId="25" fillId="0" borderId="16" xfId="7" applyFont="1" applyBorder="1" applyAlignment="1">
      <alignment horizontal="center" vertical="center" wrapText="1"/>
    </xf>
    <xf numFmtId="0" fontId="26" fillId="0" borderId="16" xfId="7" applyFont="1" applyBorder="1" applyAlignment="1">
      <alignment vertical="center" wrapText="1"/>
    </xf>
    <xf numFmtId="0" fontId="24" fillId="0" borderId="0" xfId="7"/>
    <xf numFmtId="0" fontId="28" fillId="0" borderId="16" xfId="7" applyFont="1" applyBorder="1" applyAlignment="1">
      <alignment horizontal="center" vertical="center" wrapText="1"/>
    </xf>
    <xf numFmtId="0" fontId="28" fillId="0" borderId="16" xfId="7" applyFont="1" applyBorder="1" applyAlignment="1">
      <alignment vertical="center" wrapText="1"/>
    </xf>
    <xf numFmtId="0" fontId="29" fillId="0" borderId="16" xfId="7" applyFont="1" applyBorder="1" applyAlignment="1">
      <alignment horizontal="center" vertical="center" wrapText="1"/>
    </xf>
    <xf numFmtId="0" fontId="31" fillId="0" borderId="7" xfId="3" applyFont="1" applyFill="1" applyBorder="1" applyAlignment="1">
      <alignment horizontal="center" vertical="top" wrapText="1"/>
    </xf>
    <xf numFmtId="0" fontId="14" fillId="0" borderId="7" xfId="3" applyFont="1" applyFill="1" applyBorder="1" applyAlignment="1">
      <alignment horizontal="center" vertical="top" wrapText="1"/>
    </xf>
    <xf numFmtId="0" fontId="14" fillId="4" borderId="7" xfId="3" applyFont="1" applyFill="1" applyBorder="1" applyAlignment="1">
      <alignment horizontal="center" vertical="top" wrapText="1"/>
    </xf>
    <xf numFmtId="0" fontId="33" fillId="4" borderId="7" xfId="3" applyFont="1" applyFill="1" applyBorder="1" applyAlignment="1">
      <alignment horizontal="center" vertical="top" wrapText="1"/>
    </xf>
    <xf numFmtId="176" fontId="34" fillId="0" borderId="8" xfId="1" applyNumberFormat="1" applyFont="1" applyBorder="1" applyAlignment="1">
      <alignment horizontal="left" vertical="top" wrapText="1"/>
    </xf>
    <xf numFmtId="176" fontId="34" fillId="4" borderId="9" xfId="1" applyNumberFormat="1" applyFont="1" applyFill="1" applyBorder="1" applyAlignment="1">
      <alignment horizontal="left" vertical="top" wrapText="1"/>
    </xf>
    <xf numFmtId="176" fontId="34" fillId="0" borderId="9" xfId="1" applyNumberFormat="1" applyFont="1" applyBorder="1" applyAlignment="1">
      <alignment horizontal="left" vertical="top" wrapText="1"/>
    </xf>
    <xf numFmtId="0" fontId="38" fillId="0" borderId="0" xfId="8"/>
    <xf numFmtId="0" fontId="30" fillId="0" borderId="0" xfId="8" applyFont="1"/>
    <xf numFmtId="0" fontId="30" fillId="0" borderId="0" xfId="8" applyFont="1" applyAlignment="1">
      <alignment horizontal="center" vertical="center"/>
    </xf>
    <xf numFmtId="0" fontId="30" fillId="0" borderId="0" xfId="8" applyFont="1" applyAlignment="1">
      <alignment horizontal="left" vertical="center"/>
    </xf>
    <xf numFmtId="0" fontId="30" fillId="0" borderId="19" xfId="8" applyFont="1" applyBorder="1" applyAlignment="1">
      <alignment horizontal="center" vertical="center" wrapText="1"/>
    </xf>
    <xf numFmtId="0" fontId="30" fillId="0" borderId="19" xfId="8" applyFont="1" applyBorder="1" applyAlignment="1">
      <alignment horizontal="center" vertical="center"/>
    </xf>
    <xf numFmtId="0" fontId="38" fillId="0" borderId="0" xfId="8" applyAlignment="1">
      <alignment horizontal="center" vertical="center"/>
    </xf>
    <xf numFmtId="0" fontId="30" fillId="0" borderId="0" xfId="8" applyFont="1" applyAlignment="1">
      <alignment horizontal="center" vertical="center" wrapText="1"/>
    </xf>
    <xf numFmtId="0" fontId="30" fillId="0" borderId="0" xfId="8" applyFont="1" applyAlignment="1">
      <alignment horizontal="center"/>
    </xf>
    <xf numFmtId="0" fontId="30" fillId="0" borderId="20" xfId="8" applyFont="1" applyBorder="1" applyAlignment="1">
      <alignment horizontal="center" vertical="center" wrapText="1"/>
    </xf>
    <xf numFmtId="0" fontId="30" fillId="0" borderId="20" xfId="8" applyFont="1" applyBorder="1"/>
    <xf numFmtId="0" fontId="30" fillId="0" borderId="23" xfId="8" applyFont="1" applyBorder="1" applyAlignment="1">
      <alignment horizontal="center" vertical="center"/>
    </xf>
    <xf numFmtId="0" fontId="30" fillId="0" borderId="24" xfId="8" applyFont="1" applyBorder="1"/>
    <xf numFmtId="0" fontId="30" fillId="0" borderId="26" xfId="8" applyFont="1" applyBorder="1" applyAlignment="1">
      <alignment horizontal="center" vertical="center"/>
    </xf>
    <xf numFmtId="0" fontId="30" fillId="0" borderId="27" xfId="8" applyFont="1" applyBorder="1" applyAlignment="1">
      <alignment horizontal="center" vertical="center"/>
    </xf>
    <xf numFmtId="0" fontId="30" fillId="0" borderId="27" xfId="8" applyFont="1" applyBorder="1" applyAlignment="1">
      <alignment horizontal="center" vertical="center" wrapText="1"/>
    </xf>
    <xf numFmtId="0" fontId="30" fillId="0" borderId="28" xfId="8" applyFont="1" applyBorder="1" applyAlignment="1">
      <alignment horizontal="center" vertical="center"/>
    </xf>
    <xf numFmtId="0" fontId="30" fillId="0" borderId="29" xfId="8" applyFont="1" applyBorder="1" applyAlignment="1">
      <alignment horizontal="center" vertical="center" wrapText="1"/>
    </xf>
    <xf numFmtId="0" fontId="14" fillId="0" borderId="7" xfId="1" applyFont="1" applyBorder="1" applyAlignment="1">
      <alignment horizontal="center" vertical="top" wrapText="1"/>
    </xf>
    <xf numFmtId="0" fontId="41" fillId="0" borderId="0" xfId="1" applyFont="1" applyAlignment="1">
      <alignment horizontal="center" vertical="center"/>
    </xf>
    <xf numFmtId="0" fontId="37" fillId="4" borderId="7" xfId="3" applyFont="1" applyFill="1" applyBorder="1" applyAlignment="1">
      <alignment horizontal="center" vertical="top" wrapText="1"/>
    </xf>
    <xf numFmtId="0" fontId="41" fillId="0" borderId="0" xfId="1" applyFont="1"/>
    <xf numFmtId="0" fontId="30" fillId="0" borderId="39" xfId="8" applyFont="1" applyBorder="1" applyAlignment="1">
      <alignment horizontal="center" vertical="center"/>
    </xf>
    <xf numFmtId="0" fontId="40" fillId="0" borderId="29" xfId="8" applyFont="1" applyBorder="1" applyAlignment="1">
      <alignment vertical="center"/>
    </xf>
    <xf numFmtId="0" fontId="30" fillId="0" borderId="29" xfId="8" applyFont="1" applyBorder="1"/>
    <xf numFmtId="0" fontId="30" fillId="0" borderId="30" xfId="8" applyFont="1" applyBorder="1"/>
    <xf numFmtId="0" fontId="21" fillId="4" borderId="7" xfId="3" applyFont="1" applyFill="1" applyBorder="1" applyAlignment="1">
      <alignment horizontal="center" vertical="top" wrapText="1"/>
    </xf>
    <xf numFmtId="0" fontId="42" fillId="0" borderId="7" xfId="3" applyFont="1" applyFill="1" applyBorder="1" applyAlignment="1">
      <alignment horizontal="center" vertical="top" wrapText="1"/>
    </xf>
    <xf numFmtId="0" fontId="42" fillId="4" borderId="7" xfId="3" applyFont="1" applyFill="1" applyBorder="1" applyAlignment="1">
      <alignment horizontal="center" vertical="top" wrapText="1"/>
    </xf>
    <xf numFmtId="0" fontId="43" fillId="4" borderId="7" xfId="1" applyFont="1" applyFill="1" applyBorder="1" applyAlignment="1">
      <alignment horizontal="center" vertical="top" wrapText="1"/>
    </xf>
    <xf numFmtId="0" fontId="30" fillId="0" borderId="22" xfId="8" applyFont="1" applyBorder="1" applyAlignment="1">
      <alignment horizontal="center" vertical="center" wrapText="1"/>
    </xf>
    <xf numFmtId="0" fontId="43" fillId="4" borderId="7"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30" fillId="0" borderId="31" xfId="8" applyFont="1" applyBorder="1" applyAlignment="1">
      <alignment vertical="center" wrapText="1"/>
    </xf>
    <xf numFmtId="0" fontId="30" fillId="0" borderId="32" xfId="8" applyFont="1" applyBorder="1" applyAlignment="1">
      <alignment vertical="center" wrapText="1"/>
    </xf>
    <xf numFmtId="0" fontId="30" fillId="0" borderId="21" xfId="8" applyFont="1" applyBorder="1" applyAlignment="1">
      <alignment vertical="center" wrapText="1"/>
    </xf>
    <xf numFmtId="0" fontId="30" fillId="0" borderId="22" xfId="8" applyFont="1" applyBorder="1" applyAlignment="1">
      <alignment vertical="center" wrapText="1"/>
    </xf>
    <xf numFmtId="0" fontId="30" fillId="0" borderId="21" xfId="8" applyFont="1" applyBorder="1" applyAlignment="1">
      <alignment horizontal="center" vertical="center"/>
    </xf>
    <xf numFmtId="0" fontId="30" fillId="0" borderId="42" xfId="8" applyFont="1" applyBorder="1" applyAlignment="1">
      <alignment horizontal="center" vertical="center" wrapText="1"/>
    </xf>
    <xf numFmtId="0" fontId="45" fillId="0" borderId="7" xfId="3" applyFont="1" applyFill="1" applyBorder="1" applyAlignment="1">
      <alignment horizontal="center" vertical="top" wrapText="1"/>
    </xf>
    <xf numFmtId="0" fontId="46" fillId="9" borderId="7" xfId="3" applyFont="1" applyFill="1" applyBorder="1" applyAlignment="1">
      <alignment horizontal="center" vertical="top" wrapText="1"/>
    </xf>
    <xf numFmtId="0" fontId="45" fillId="4" borderId="7" xfId="3" applyFont="1" applyFill="1" applyBorder="1" applyAlignment="1">
      <alignment horizontal="center" vertical="top" wrapText="1"/>
    </xf>
    <xf numFmtId="0" fontId="47" fillId="4" borderId="7" xfId="3" applyFont="1" applyFill="1" applyBorder="1" applyAlignment="1">
      <alignment horizontal="center" vertical="top" wrapText="1"/>
    </xf>
    <xf numFmtId="0" fontId="21" fillId="0" borderId="7" xfId="3" applyFont="1" applyFill="1" applyBorder="1" applyAlignment="1">
      <alignment horizontal="center" vertical="top" wrapText="1"/>
    </xf>
    <xf numFmtId="0" fontId="42" fillId="4" borderId="7" xfId="1" applyFont="1" applyFill="1" applyBorder="1" applyAlignment="1">
      <alignment horizontal="center" vertical="top" wrapText="1"/>
    </xf>
    <xf numFmtId="0" fontId="49" fillId="0" borderId="7" xfId="3" applyFont="1" applyFill="1" applyBorder="1" applyAlignment="1">
      <alignment horizontal="center" vertical="top" wrapText="1"/>
    </xf>
    <xf numFmtId="20" fontId="32" fillId="4" borderId="7" xfId="3" applyNumberFormat="1" applyFont="1" applyFill="1" applyBorder="1" applyAlignment="1">
      <alignment horizontal="center" vertical="top" wrapText="1"/>
    </xf>
    <xf numFmtId="0" fontId="50" fillId="0" borderId="7" xfId="3" applyFont="1" applyFill="1" applyBorder="1" applyAlignment="1">
      <alignment horizontal="center" vertical="top" wrapText="1"/>
    </xf>
    <xf numFmtId="0" fontId="50" fillId="4" borderId="7" xfId="3" applyFont="1" applyFill="1" applyBorder="1" applyAlignment="1">
      <alignment horizontal="center" vertical="top" wrapText="1"/>
    </xf>
    <xf numFmtId="0" fontId="32" fillId="0" borderId="7" xfId="3" applyFont="1" applyFill="1" applyBorder="1" applyAlignment="1">
      <alignment horizontal="center" vertical="top" wrapText="1"/>
    </xf>
    <xf numFmtId="0" fontId="51" fillId="4" borderId="7" xfId="1" applyFont="1" applyFill="1" applyBorder="1" applyAlignment="1">
      <alignment horizontal="center" vertical="top" wrapText="1"/>
    </xf>
    <xf numFmtId="0" fontId="11" fillId="0" borderId="0" xfId="1" applyFont="1" applyAlignment="1">
      <alignment vertical="center"/>
    </xf>
    <xf numFmtId="0" fontId="52" fillId="4" borderId="7" xfId="3" applyFont="1" applyFill="1" applyBorder="1" applyAlignment="1">
      <alignment horizontal="center" vertical="top" wrapText="1"/>
    </xf>
    <xf numFmtId="0" fontId="52" fillId="0" borderId="7" xfId="3" applyFont="1" applyFill="1" applyBorder="1" applyAlignment="1">
      <alignment horizontal="center" vertical="top" wrapText="1"/>
    </xf>
    <xf numFmtId="0" fontId="53" fillId="0" borderId="0" xfId="1" applyFont="1" applyAlignment="1">
      <alignment vertical="center"/>
    </xf>
    <xf numFmtId="0" fontId="30" fillId="0" borderId="24" xfId="8" applyFont="1" applyBorder="1" applyAlignment="1">
      <alignment horizontal="center"/>
    </xf>
    <xf numFmtId="0" fontId="30" fillId="0" borderId="25" xfId="8" applyFont="1" applyBorder="1" applyAlignment="1">
      <alignment horizontal="center"/>
    </xf>
    <xf numFmtId="0" fontId="30" fillId="0" borderId="21" xfId="8" applyFont="1" applyBorder="1" applyAlignment="1">
      <alignment horizontal="center" vertical="center" wrapText="1"/>
    </xf>
    <xf numFmtId="0" fontId="30" fillId="0" borderId="22" xfId="8" applyFont="1" applyBorder="1" applyAlignment="1">
      <alignment horizontal="center" vertical="center" wrapText="1"/>
    </xf>
    <xf numFmtId="0" fontId="30" fillId="8" borderId="31" xfId="8" applyFont="1" applyFill="1" applyBorder="1" applyAlignment="1">
      <alignment horizontal="center" vertical="center" wrapText="1"/>
    </xf>
    <xf numFmtId="0" fontId="30" fillId="8" borderId="32" xfId="8" applyFont="1" applyFill="1" applyBorder="1" applyAlignment="1">
      <alignment horizontal="center" vertical="center" wrapText="1"/>
    </xf>
    <xf numFmtId="0" fontId="30" fillId="8" borderId="33" xfId="8" applyFont="1" applyFill="1" applyBorder="1" applyAlignment="1">
      <alignment horizontal="center" vertical="center" wrapText="1"/>
    </xf>
    <xf numFmtId="0" fontId="30" fillId="8" borderId="34" xfId="8" applyFont="1" applyFill="1" applyBorder="1" applyAlignment="1">
      <alignment horizontal="center" vertical="center" wrapText="1"/>
    </xf>
    <xf numFmtId="0" fontId="30" fillId="7" borderId="31" xfId="8" applyFont="1" applyFill="1" applyBorder="1" applyAlignment="1">
      <alignment horizontal="center" vertical="center" wrapText="1"/>
    </xf>
    <xf numFmtId="0" fontId="30" fillId="7" borderId="32" xfId="8" applyFont="1" applyFill="1" applyBorder="1" applyAlignment="1">
      <alignment horizontal="center" vertical="center" wrapText="1"/>
    </xf>
    <xf numFmtId="0" fontId="30" fillId="7" borderId="35" xfId="8" applyFont="1" applyFill="1" applyBorder="1" applyAlignment="1">
      <alignment horizontal="center" vertical="center" wrapText="1"/>
    </xf>
    <xf numFmtId="0" fontId="30" fillId="7" borderId="36" xfId="8" applyFont="1" applyFill="1" applyBorder="1" applyAlignment="1">
      <alignment horizontal="center" vertical="center" wrapText="1"/>
    </xf>
    <xf numFmtId="0" fontId="30" fillId="7" borderId="33" xfId="8" applyFont="1" applyFill="1" applyBorder="1" applyAlignment="1">
      <alignment horizontal="center" vertical="center" wrapText="1"/>
    </xf>
    <xf numFmtId="0" fontId="30" fillId="7" borderId="34" xfId="8" applyFont="1" applyFill="1" applyBorder="1" applyAlignment="1">
      <alignment horizontal="center" vertical="center" wrapText="1"/>
    </xf>
    <xf numFmtId="0" fontId="30" fillId="7" borderId="37" xfId="8" applyFont="1" applyFill="1" applyBorder="1" applyAlignment="1">
      <alignment horizontal="center" vertical="center" wrapText="1"/>
    </xf>
    <xf numFmtId="0" fontId="30" fillId="7" borderId="38" xfId="8" applyFont="1" applyFill="1" applyBorder="1" applyAlignment="1">
      <alignment horizontal="center" vertical="center" wrapText="1"/>
    </xf>
    <xf numFmtId="0" fontId="30" fillId="7" borderId="40" xfId="8" applyFont="1" applyFill="1" applyBorder="1" applyAlignment="1">
      <alignment horizontal="center" vertical="center" wrapText="1"/>
    </xf>
    <xf numFmtId="0" fontId="30" fillId="0" borderId="31" xfId="8" applyFont="1" applyBorder="1" applyAlignment="1">
      <alignment horizontal="left" vertical="center" wrapText="1"/>
    </xf>
    <xf numFmtId="0" fontId="30" fillId="0" borderId="32" xfId="8" applyFont="1" applyBorder="1" applyAlignment="1">
      <alignment horizontal="left" vertical="center" wrapText="1"/>
    </xf>
    <xf numFmtId="0" fontId="30" fillId="0" borderId="35" xfId="8" applyFont="1" applyBorder="1" applyAlignment="1">
      <alignment horizontal="left" vertical="center" wrapText="1"/>
    </xf>
    <xf numFmtId="0" fontId="30" fillId="0" borderId="36" xfId="8" applyFont="1" applyBorder="1" applyAlignment="1">
      <alignment horizontal="left" vertical="center" wrapText="1"/>
    </xf>
    <xf numFmtId="0" fontId="30" fillId="0" borderId="33" xfId="8" applyFont="1" applyBorder="1" applyAlignment="1">
      <alignment horizontal="left" vertical="center" wrapText="1"/>
    </xf>
    <xf numFmtId="0" fontId="30" fillId="0" borderId="34" xfId="8" applyFont="1" applyBorder="1" applyAlignment="1">
      <alignment horizontal="left" vertical="center" wrapText="1"/>
    </xf>
    <xf numFmtId="0" fontId="44" fillId="0" borderId="31" xfId="8" applyFont="1" applyBorder="1" applyAlignment="1">
      <alignment horizontal="center" vertical="center" wrapText="1"/>
    </xf>
    <xf numFmtId="0" fontId="44" fillId="0" borderId="43" xfId="8" applyFont="1" applyBorder="1" applyAlignment="1">
      <alignment horizontal="center" vertical="center" wrapText="1"/>
    </xf>
    <xf numFmtId="0" fontId="44" fillId="0" borderId="37" xfId="8" applyFont="1" applyBorder="1" applyAlignment="1">
      <alignment horizontal="center" vertical="center" wrapText="1"/>
    </xf>
    <xf numFmtId="0" fontId="44" fillId="0" borderId="35" xfId="8" applyFont="1" applyBorder="1" applyAlignment="1">
      <alignment horizontal="center" vertical="center" wrapText="1"/>
    </xf>
    <xf numFmtId="0" fontId="44" fillId="0" borderId="0" xfId="8" applyFont="1" applyAlignment="1">
      <alignment horizontal="center" vertical="center" wrapText="1"/>
    </xf>
    <xf numFmtId="0" fontId="44" fillId="0" borderId="38" xfId="8" applyFont="1" applyBorder="1" applyAlignment="1">
      <alignment horizontal="center" vertical="center" wrapText="1"/>
    </xf>
    <xf numFmtId="0" fontId="44" fillId="0" borderId="33" xfId="8" applyFont="1" applyBorder="1" applyAlignment="1">
      <alignment horizontal="center" vertical="center" wrapText="1"/>
    </xf>
    <xf numFmtId="0" fontId="44" fillId="0" borderId="41" xfId="8" applyFont="1" applyBorder="1" applyAlignment="1">
      <alignment horizontal="center" vertical="center" wrapText="1"/>
    </xf>
    <xf numFmtId="0" fontId="44" fillId="0" borderId="40" xfId="8" applyFont="1" applyBorder="1" applyAlignment="1">
      <alignment horizontal="center" vertical="center" wrapText="1"/>
    </xf>
    <xf numFmtId="0" fontId="28" fillId="0" borderId="17" xfId="7" applyFont="1" applyBorder="1" applyAlignment="1">
      <alignment vertical="center" wrapText="1"/>
    </xf>
    <xf numFmtId="0" fontId="28" fillId="0" borderId="18" xfId="7" applyFont="1" applyBorder="1" applyAlignment="1">
      <alignment vertical="center" wrapText="1"/>
    </xf>
    <xf numFmtId="0" fontId="28" fillId="0" borderId="17" xfId="7" applyFont="1" applyBorder="1" applyAlignment="1">
      <alignment horizontal="center" vertical="center" wrapText="1"/>
    </xf>
    <xf numFmtId="0" fontId="28" fillId="0" borderId="18" xfId="7" applyFont="1" applyBorder="1" applyAlignment="1">
      <alignment horizontal="center" vertical="center" wrapText="1"/>
    </xf>
    <xf numFmtId="0" fontId="16" fillId="0" borderId="11" xfId="2" applyFont="1" applyFill="1" applyBorder="1" applyAlignment="1">
      <alignment horizontal="left" vertical="top" wrapText="1"/>
    </xf>
    <xf numFmtId="0" fontId="16" fillId="0" borderId="5" xfId="2" applyFont="1" applyFill="1" applyBorder="1" applyAlignment="1">
      <alignment horizontal="left" vertical="top" wrapText="1"/>
    </xf>
    <xf numFmtId="0" fontId="16" fillId="0" borderId="6" xfId="2" applyFont="1" applyFill="1" applyBorder="1" applyAlignment="1">
      <alignment horizontal="left" vertical="top" wrapText="1"/>
    </xf>
    <xf numFmtId="176" fontId="12" fillId="0" borderId="12" xfId="2" applyNumberFormat="1" applyFont="1" applyFill="1" applyBorder="1" applyAlignment="1">
      <alignment horizontal="left" vertical="center" wrapText="1"/>
    </xf>
    <xf numFmtId="176" fontId="12" fillId="0" borderId="13" xfId="2" applyNumberFormat="1" applyFont="1" applyFill="1" applyBorder="1" applyAlignment="1">
      <alignment horizontal="left" vertical="center" wrapText="1"/>
    </xf>
    <xf numFmtId="176" fontId="12" fillId="0" borderId="14" xfId="2" applyNumberFormat="1" applyFont="1" applyFill="1" applyBorder="1" applyAlignment="1">
      <alignment horizontal="left" vertical="center" wrapText="1"/>
    </xf>
    <xf numFmtId="177" fontId="11" fillId="0" borderId="0" xfId="1" applyNumberFormat="1" applyFont="1" applyAlignment="1">
      <alignment horizontal="left" vertical="center"/>
    </xf>
    <xf numFmtId="0" fontId="35" fillId="0" borderId="11" xfId="2" applyFont="1" applyFill="1" applyBorder="1" applyAlignment="1">
      <alignment horizontal="left" vertical="top" wrapText="1"/>
    </xf>
    <xf numFmtId="0" fontId="51" fillId="0" borderId="7" xfId="3" applyFont="1" applyFill="1" applyBorder="1" applyAlignment="1">
      <alignment horizontal="center" vertical="top" wrapText="1"/>
    </xf>
  </cellXfs>
  <cellStyles count="9">
    <cellStyle name="40% - Accent1 2" xfId="3" xr:uid="{00000000-0005-0000-0000-000000000000}"/>
    <cellStyle name="Accent1 2" xfId="2" xr:uid="{00000000-0005-0000-0000-000001000000}"/>
    <cellStyle name="Heading 1 2" xfId="4" xr:uid="{00000000-0005-0000-0000-000002000000}"/>
    <cellStyle name="Normal 2" xfId="1" xr:uid="{00000000-0005-0000-0000-000003000000}"/>
    <cellStyle name="ハイパーリンク" xfId="5" builtinId="8"/>
    <cellStyle name="標準" xfId="0" builtinId="0" customBuiltin="1"/>
    <cellStyle name="標準 2" xfId="7" xr:uid="{244AA7CF-2593-4695-876D-0A1D9B11B68A}"/>
    <cellStyle name="標準 3" xfId="8" xr:uid="{7DD24308-8214-431C-A064-2108C11DA045}"/>
    <cellStyle name="網かけ表示された日付メモ" xfId="6" xr:uid="{12770F77-7A8C-4DBC-B158-F0915C7CED34}"/>
  </cellStyles>
  <dxfs count="11">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TableStyleLight9 2" pivot="0" count="4" xr9:uid="{00000000-0011-0000-FFFF-FFFF01000000}">
      <tableStyleElement type="wholeTable" dxfId="3"/>
      <tableStyleElement type="headerRow" dxfId="2"/>
      <tableStyleElement type="totalRow" dxfId="1"/>
      <tableStyleElement type="firstColumn" dxfId="0"/>
    </tableStyle>
  </tableStyles>
  <colors>
    <mruColors>
      <color rgb="FFC17529"/>
      <color rgb="FFFDFDFD"/>
      <color rgb="FFA19574"/>
      <color rgb="FFEAE8EA"/>
      <color rgb="FFEAE8E0"/>
      <color rgb="FFA1A9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カレンダーの年" max="2999" min="1900" page="10" val="2024"/>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8</xdr:col>
      <xdr:colOff>242351</xdr:colOff>
      <xdr:row>13</xdr:row>
      <xdr:rowOff>742949</xdr:rowOff>
    </xdr:from>
    <xdr:to>
      <xdr:col>9</xdr:col>
      <xdr:colOff>985838</xdr:colOff>
      <xdr:row>16</xdr:row>
      <xdr:rowOff>8668</xdr:rowOff>
    </xdr:to>
    <xdr:sp macro="" textlink="">
      <xdr:nvSpPr>
        <xdr:cNvPr id="25" name="テキスト ボックス 24" descr="住所&#10;郵便番号、都道府県、市&#10;&#10;電話&#10;FAX&#10;電子メール&#10;Web" title="アドレス帳">
          <a:extLst>
            <a:ext uri="{FF2B5EF4-FFF2-40B4-BE49-F238E27FC236}">
              <a16:creationId xmlns:a16="http://schemas.microsoft.com/office/drawing/2014/main" id="{00000000-0008-0000-0200-000019000000}"/>
            </a:ext>
          </a:extLst>
        </xdr:cNvPr>
        <xdr:cNvSpPr txBox="1"/>
      </xdr:nvSpPr>
      <xdr:spPr>
        <a:xfrm>
          <a:off x="8660070" y="6362699"/>
          <a:ext cx="1922206" cy="1361219"/>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1047750</xdr:colOff>
          <xdr:row>1</xdr:row>
          <xdr:rowOff>90488</xdr:rowOff>
        </xdr:from>
        <xdr:to>
          <xdr:col>11</xdr:col>
          <xdr:colOff>114300</xdr:colOff>
          <xdr:row>1</xdr:row>
          <xdr:rowOff>319088</xdr:rowOff>
        </xdr:to>
        <xdr:sp macro="" textlink="">
          <xdr:nvSpPr>
            <xdr:cNvPr id="1026" name="スピン ボタン 2" descr="スピン コントロールです。スピン ボタンを使用して、カレンダーの年を変更するか、セル L2 に適切な年を入力します。"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250031</xdr:colOff>
      <xdr:row>7</xdr:row>
      <xdr:rowOff>421481</xdr:rowOff>
    </xdr:from>
    <xdr:ext cx="4179094" cy="1757362"/>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250031" y="2695575"/>
          <a:ext cx="4179094" cy="1757362"/>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ysClr val="windowText" lastClr="000000"/>
              </a:solidFill>
            </a:rPr>
            <a:t>・</a:t>
          </a:r>
          <a:r>
            <a:rPr kumimoji="1" lang="en-US" altLang="ja-JP" sz="2000" b="1">
              <a:solidFill>
                <a:sysClr val="windowText" lastClr="000000"/>
              </a:solidFill>
            </a:rPr>
            <a:t>1/7</a:t>
          </a:r>
          <a:r>
            <a:rPr kumimoji="1" lang="ja-JP" altLang="en-US" sz="2000" b="1">
              <a:solidFill>
                <a:sysClr val="windowText" lastClr="000000"/>
              </a:solidFill>
            </a:rPr>
            <a:t>　８～１１時迄</a:t>
          </a:r>
          <a:endParaRPr kumimoji="1" lang="en-US" altLang="ja-JP" sz="2000" b="1">
            <a:solidFill>
              <a:sysClr val="windowText" lastClr="000000"/>
            </a:solidFill>
          </a:endParaRPr>
        </a:p>
        <a:p>
          <a:r>
            <a:rPr kumimoji="1" lang="ja-JP" altLang="en-US" sz="2000" b="1">
              <a:solidFill>
                <a:sysClr val="windowText" lastClr="000000"/>
              </a:solidFill>
            </a:rPr>
            <a:t>　　　　学校部活動</a:t>
          </a:r>
          <a:endParaRPr kumimoji="1" lang="en-US" altLang="ja-JP" sz="2000" b="1">
            <a:solidFill>
              <a:sysClr val="windowText" lastClr="000000"/>
            </a:solidFill>
          </a:endParaRPr>
        </a:p>
        <a:p>
          <a:endParaRPr kumimoji="1" lang="en-US" altLang="ja-JP" sz="2000" b="1">
            <a:solidFill>
              <a:sysClr val="windowText" lastClr="000000"/>
            </a:solidFill>
          </a:endParaRPr>
        </a:p>
      </xdr:txBody>
    </xdr:sp>
    <xdr:clientData/>
  </xdr:oneCellAnchor>
  <xdr:twoCellAnchor>
    <xdr:from>
      <xdr:col>8</xdr:col>
      <xdr:colOff>242886</xdr:colOff>
      <xdr:row>13</xdr:row>
      <xdr:rowOff>714375</xdr:rowOff>
    </xdr:from>
    <xdr:to>
      <xdr:col>9</xdr:col>
      <xdr:colOff>992980</xdr:colOff>
      <xdr:row>15</xdr:row>
      <xdr:rowOff>809625</xdr:rowOff>
    </xdr:to>
    <xdr:sp macro="" textlink="">
      <xdr:nvSpPr>
        <xdr:cNvPr id="3" name="テキスト ボックス 2" descr="住所&#10;郵便番号、都道府県、市&#10;&#10;電話&#10;FAX&#10;電子メール&#10;Web" title="アドレス帳">
          <a:extLst>
            <a:ext uri="{FF2B5EF4-FFF2-40B4-BE49-F238E27FC236}">
              <a16:creationId xmlns:a16="http://schemas.microsoft.com/office/drawing/2014/main" id="{00000000-0008-0000-0200-000003000000}"/>
            </a:ext>
          </a:extLst>
        </xdr:cNvPr>
        <xdr:cNvSpPr txBox="1"/>
      </xdr:nvSpPr>
      <xdr:spPr>
        <a:xfrm>
          <a:off x="8660605" y="6334125"/>
          <a:ext cx="1928813" cy="1369219"/>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266699</xdr:colOff>
      <xdr:row>3</xdr:row>
      <xdr:rowOff>16667</xdr:rowOff>
    </xdr:from>
    <xdr:to>
      <xdr:col>9</xdr:col>
      <xdr:colOff>933052</xdr:colOff>
      <xdr:row>7</xdr:row>
      <xdr:rowOff>400046</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8684418" y="1362073"/>
          <a:ext cx="1845072" cy="1500187"/>
        </a:xfrm>
        <a:prstGeom prst="rect">
          <a:avLst/>
        </a:prstGeom>
      </xdr:spPr>
    </xdr:pic>
    <xdr:clientData/>
  </xdr:twoCellAnchor>
  <xdr:twoCellAnchor editAs="oneCell">
    <xdr:from>
      <xdr:col>8</xdr:col>
      <xdr:colOff>238120</xdr:colOff>
      <xdr:row>8</xdr:row>
      <xdr:rowOff>4761</xdr:rowOff>
    </xdr:from>
    <xdr:to>
      <xdr:col>9</xdr:col>
      <xdr:colOff>963546</xdr:colOff>
      <xdr:row>11</xdr:row>
      <xdr:rowOff>402429</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54" b="12552"/>
        <a:stretch/>
      </xdr:blipFill>
      <xdr:spPr>
        <a:xfrm>
          <a:off x="8655839" y="3267074"/>
          <a:ext cx="1904145" cy="1624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208359</xdr:colOff>
      <xdr:row>11</xdr:row>
      <xdr:rowOff>476250</xdr:rowOff>
    </xdr:from>
    <xdr:to>
      <xdr:col>9</xdr:col>
      <xdr:colOff>961710</xdr:colOff>
      <xdr:row>15</xdr:row>
      <xdr:rowOff>598714</xdr:rowOff>
    </xdr:to>
    <xdr:sp macro="" textlink="">
      <xdr:nvSpPr>
        <xdr:cNvPr id="8" name="テキスト ボックス 7" descr="住所&#10;郵便番号、都道府県、市&#10;&#10;電話&#10;FAX&#10;電子メール&#10;Web" title="アドレス帳">
          <a:extLst>
            <a:ext uri="{FF2B5EF4-FFF2-40B4-BE49-F238E27FC236}">
              <a16:creationId xmlns:a16="http://schemas.microsoft.com/office/drawing/2014/main" id="{00000000-0008-0000-0B00-000008000000}"/>
            </a:ext>
          </a:extLst>
        </xdr:cNvPr>
        <xdr:cNvSpPr txBox="1"/>
      </xdr:nvSpPr>
      <xdr:spPr>
        <a:xfrm>
          <a:off x="8780859" y="5456464"/>
          <a:ext cx="1937172" cy="1524000"/>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a:t>
          </a:r>
          <a:endParaRPr lang="en-US" altLang="ja-JP" sz="1100" b="0" i="0" baseline="0">
            <a:solidFill>
              <a:schemeClr val="dk1"/>
            </a:solidFill>
            <a:effectLst/>
            <a:latin typeface="+mn-lt"/>
            <a:ea typeface="+mn-ea"/>
            <a:cs typeface="+mn-cs"/>
          </a:endParaRPr>
        </a:p>
        <a:p>
          <a:pPr eaLnBrk="1" fontAlgn="auto" latinLnBrk="0" hangingPunct="1"/>
          <a:r>
            <a:rPr lang="ja-JP" altLang="ja-JP" sz="1100" b="0" i="0" baseline="0">
              <a:solidFill>
                <a:schemeClr val="dk1"/>
              </a:solidFill>
              <a:effectLst/>
              <a:latin typeface="+mn-lt"/>
              <a:ea typeface="+mn-ea"/>
              <a:cs typeface="+mn-cs"/>
            </a:rPr>
            <a:t>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95250</xdr:colOff>
      <xdr:row>3</xdr:row>
      <xdr:rowOff>45585</xdr:rowOff>
    </xdr:from>
    <xdr:to>
      <xdr:col>9</xdr:col>
      <xdr:colOff>1008207</xdr:colOff>
      <xdr:row>9</xdr:row>
      <xdr:rowOff>399370</xdr:rowOff>
    </xdr:to>
    <xdr:pic>
      <xdr:nvPicPr>
        <xdr:cNvPr id="2" name="図 1">
          <a:extLst>
            <a:ext uri="{FF2B5EF4-FFF2-40B4-BE49-F238E27FC236}">
              <a16:creationId xmlns:a16="http://schemas.microsoft.com/office/drawing/2014/main" id="{7E8EA6A8-0587-315D-498D-B0BAB7B9C82B}"/>
            </a:ext>
          </a:extLst>
        </xdr:cNvPr>
        <xdr:cNvPicPr>
          <a:picLocks noChangeAspect="1"/>
        </xdr:cNvPicPr>
      </xdr:nvPicPr>
      <xdr:blipFill>
        <a:blip xmlns:r="http://schemas.openxmlformats.org/officeDocument/2006/relationships" r:embed="rId1"/>
        <a:stretch>
          <a:fillRect/>
        </a:stretch>
      </xdr:blipFill>
      <xdr:spPr>
        <a:xfrm>
          <a:off x="8939893" y="1392692"/>
          <a:ext cx="2092016" cy="2975202"/>
        </a:xfrm>
        <a:prstGeom prst="rect">
          <a:avLst/>
        </a:prstGeom>
      </xdr:spPr>
    </xdr:pic>
    <xdr:clientData/>
  </xdr:twoCellAnchor>
  <xdr:oneCellAnchor>
    <xdr:from>
      <xdr:col>1</xdr:col>
      <xdr:colOff>625929</xdr:colOff>
      <xdr:row>6</xdr:row>
      <xdr:rowOff>136072</xdr:rowOff>
    </xdr:from>
    <xdr:ext cx="3973285" cy="884464"/>
    <xdr:sp macro="" textlink="">
      <xdr:nvSpPr>
        <xdr:cNvPr id="3" name="テキスト ボックス 2">
          <a:extLst>
            <a:ext uri="{FF2B5EF4-FFF2-40B4-BE49-F238E27FC236}">
              <a16:creationId xmlns:a16="http://schemas.microsoft.com/office/drawing/2014/main" id="{8A253B6E-DCE5-4351-9F6A-2A777596AD77}"/>
            </a:ext>
          </a:extLst>
        </xdr:cNvPr>
        <xdr:cNvSpPr txBox="1"/>
      </xdr:nvSpPr>
      <xdr:spPr>
        <a:xfrm>
          <a:off x="898072" y="2857501"/>
          <a:ext cx="3973285" cy="884464"/>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chemeClr val="tx1"/>
              </a:solidFill>
            </a:rPr>
            <a:t>10/13</a:t>
          </a:r>
          <a:r>
            <a:rPr kumimoji="1" lang="ja-JP" altLang="en-US" sz="2000" b="1">
              <a:solidFill>
                <a:schemeClr val="tx1"/>
              </a:solidFill>
            </a:rPr>
            <a:t>㈰　学校事由で午後からの活動へ変更となります</a:t>
          </a:r>
          <a:endParaRPr kumimoji="1" lang="en-US" altLang="ja-JP" sz="2000" b="1">
            <a:solidFill>
              <a:sysClr val="windowText" lastClr="00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316706</xdr:colOff>
      <xdr:row>13</xdr:row>
      <xdr:rowOff>52388</xdr:rowOff>
    </xdr:from>
    <xdr:to>
      <xdr:col>9</xdr:col>
      <xdr:colOff>1075159</xdr:colOff>
      <xdr:row>15</xdr:row>
      <xdr:rowOff>807926</xdr:rowOff>
    </xdr:to>
    <xdr:sp macro="" textlink="">
      <xdr:nvSpPr>
        <xdr:cNvPr id="3" name="テキスト ボックス 2" descr="住所&#10;郵便番号、都道府県、市&#10;&#10;電話&#10;FAX&#10;電子メール&#10;Web" title="アドレス帳">
          <a:extLst>
            <a:ext uri="{FF2B5EF4-FFF2-40B4-BE49-F238E27FC236}">
              <a16:creationId xmlns:a16="http://schemas.microsoft.com/office/drawing/2014/main" id="{00000000-0008-0000-0C00-000003000000}"/>
            </a:ext>
          </a:extLst>
        </xdr:cNvPr>
        <xdr:cNvSpPr txBox="1"/>
      </xdr:nvSpPr>
      <xdr:spPr>
        <a:xfrm>
          <a:off x="8591550" y="5922169"/>
          <a:ext cx="1937172" cy="211285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各お知らせ事項</a:t>
          </a:r>
          <a:endParaRPr lang="en-US" altLang="ja-JP" sz="1100" b="0" i="0" baseline="0">
            <a:solidFill>
              <a:schemeClr val="dk1"/>
            </a:solidFill>
            <a:effectLst/>
            <a:latin typeface="+mn-lt"/>
            <a:ea typeface="+mn-ea"/>
            <a:cs typeface="+mn-cs"/>
          </a:endParaRPr>
        </a:p>
        <a:p>
          <a:pPr eaLnBrk="1" fontAlgn="auto" latinLnBrk="0" hangingPunct="1"/>
          <a:endParaRPr lang="ja-JP" altLang="ja-JP">
            <a:effectLst/>
          </a:endParaRPr>
        </a:p>
        <a:p>
          <a:pPr eaLnBrk="1" fontAlgn="auto" latinLnBrk="0" hangingPunct="1"/>
          <a:r>
            <a:rPr lang="ja-JP" altLang="en-US" sz="1100" b="0" i="0" baseline="0">
              <a:solidFill>
                <a:schemeClr val="dk1"/>
              </a:solidFill>
              <a:effectLst/>
              <a:latin typeface="+mn-lt"/>
              <a:ea typeface="+mn-ea"/>
              <a:cs typeface="+mn-cs"/>
            </a:rPr>
            <a:t>各</a:t>
          </a:r>
          <a:r>
            <a:rPr lang="ja-JP" altLang="ja-JP" sz="1100" b="0" i="0" baseline="0">
              <a:solidFill>
                <a:schemeClr val="dk1"/>
              </a:solidFill>
              <a:effectLst/>
              <a:latin typeface="+mn-lt"/>
              <a:ea typeface="+mn-ea"/>
              <a:cs typeface="+mn-cs"/>
            </a:rPr>
            <a:t>クラスが最小遂行人数以下の場合、休校</a:t>
          </a:r>
          <a:r>
            <a:rPr lang="ja-JP" altLang="en-US" sz="1100" b="0" i="0" baseline="0">
              <a:solidFill>
                <a:schemeClr val="dk1"/>
              </a:solidFill>
              <a:effectLst/>
              <a:latin typeface="+mn-lt"/>
              <a:ea typeface="+mn-ea"/>
              <a:cs typeface="+mn-cs"/>
            </a:rPr>
            <a:t>する場合があります</a:t>
          </a: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342901</xdr:colOff>
      <xdr:row>3</xdr:row>
      <xdr:rowOff>261937</xdr:rowOff>
    </xdr:from>
    <xdr:to>
      <xdr:col>9</xdr:col>
      <xdr:colOff>971042</xdr:colOff>
      <xdr:row>9</xdr:row>
      <xdr:rowOff>55775</xdr:rowOff>
    </xdr:to>
    <xdr:pic>
      <xdr:nvPicPr>
        <xdr:cNvPr id="2" name="図 1">
          <a:extLst>
            <a:ext uri="{FF2B5EF4-FFF2-40B4-BE49-F238E27FC236}">
              <a16:creationId xmlns:a16="http://schemas.microsoft.com/office/drawing/2014/main" id="{E6DE5797-25F6-F637-D5D4-919CFAAF57EF}"/>
            </a:ext>
          </a:extLst>
        </xdr:cNvPr>
        <xdr:cNvPicPr>
          <a:picLocks noChangeAspect="1"/>
        </xdr:cNvPicPr>
      </xdr:nvPicPr>
      <xdr:blipFill>
        <a:blip xmlns:r="http://schemas.openxmlformats.org/officeDocument/2006/relationships" r:embed="rId1"/>
        <a:stretch>
          <a:fillRect/>
        </a:stretch>
      </xdr:blipFill>
      <xdr:spPr>
        <a:xfrm>
          <a:off x="8832057" y="1607343"/>
          <a:ext cx="1806860" cy="25679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130969</xdr:colOff>
      <xdr:row>12</xdr:row>
      <xdr:rowOff>142875</xdr:rowOff>
    </xdr:from>
    <xdr:to>
      <xdr:col>9</xdr:col>
      <xdr:colOff>1047750</xdr:colOff>
      <xdr:row>15</xdr:row>
      <xdr:rowOff>819831</xdr:rowOff>
    </xdr:to>
    <xdr:sp macro="" textlink="">
      <xdr:nvSpPr>
        <xdr:cNvPr id="5" name="テキスト ボックス 4" descr="住所&#10;郵便番号、都道府県、市&#10;&#10;電話&#10;FAX&#10;電子メール&#10;Web" title="アドレス帳">
          <a:extLst>
            <a:ext uri="{FF2B5EF4-FFF2-40B4-BE49-F238E27FC236}">
              <a16:creationId xmlns:a16="http://schemas.microsoft.com/office/drawing/2014/main" id="{00000000-0008-0000-0D00-000005000000}"/>
            </a:ext>
          </a:extLst>
        </xdr:cNvPr>
        <xdr:cNvSpPr txBox="1"/>
      </xdr:nvSpPr>
      <xdr:spPr>
        <a:xfrm>
          <a:off x="9286875" y="5869781"/>
          <a:ext cx="2095500" cy="1879488"/>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各</a:t>
          </a:r>
          <a:r>
            <a:rPr lang="ja-JP" altLang="en-US" sz="1100" b="0" i="0" baseline="0">
              <a:solidFill>
                <a:schemeClr val="dk1"/>
              </a:solidFill>
              <a:effectLst/>
              <a:latin typeface="+mn-lt"/>
              <a:ea typeface="+mn-ea"/>
              <a:cs typeface="+mn-cs"/>
            </a:rPr>
            <a:t>お知らせ事項</a:t>
          </a:r>
          <a:endParaRPr lang="en-US" altLang="ja-JP" sz="1100" b="0" i="0" baseline="0">
            <a:solidFill>
              <a:schemeClr val="dk1"/>
            </a:solidFill>
            <a:effectLst/>
            <a:latin typeface="+mn-lt"/>
            <a:ea typeface="+mn-ea"/>
            <a:cs typeface="+mn-cs"/>
          </a:endParaRPr>
        </a:p>
        <a:p>
          <a:pPr eaLnBrk="1" fontAlgn="auto" latinLnBrk="0" hangingPunct="1"/>
          <a:endParaRPr lang="en-US" altLang="ja-JP" sz="1100" b="0" i="0" baseline="0">
            <a:solidFill>
              <a:schemeClr val="dk1"/>
            </a:solidFill>
            <a:effectLst/>
            <a:latin typeface="+mn-lt"/>
            <a:ea typeface="+mn-ea"/>
            <a:cs typeface="+mn-cs"/>
          </a:endParaRPr>
        </a:p>
        <a:p>
          <a:pPr eaLnBrk="1" fontAlgn="auto" latinLnBrk="0" hangingPunct="1"/>
          <a:r>
            <a:rPr lang="ja-JP" altLang="ja-JP" sz="1100" b="0" i="0" baseline="0">
              <a:solidFill>
                <a:schemeClr val="dk1"/>
              </a:solidFill>
              <a:effectLst/>
              <a:latin typeface="+mn-lt"/>
              <a:ea typeface="+mn-ea"/>
              <a:cs typeface="+mn-cs"/>
            </a:rPr>
            <a:t>各クラスが最小遂行人数以下の場合、休校する場合があります</a:t>
          </a:r>
          <a:endParaRPr lang="ja-JP" altLang="ja-JP">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135732</xdr:colOff>
      <xdr:row>2</xdr:row>
      <xdr:rowOff>778668</xdr:rowOff>
    </xdr:from>
    <xdr:to>
      <xdr:col>9</xdr:col>
      <xdr:colOff>1009666</xdr:colOff>
      <xdr:row>5</xdr:row>
      <xdr:rowOff>807252</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9291638" y="1338262"/>
          <a:ext cx="2052653" cy="1333509"/>
        </a:xfrm>
        <a:prstGeom prst="rect">
          <a:avLst/>
        </a:prstGeom>
      </xdr:spPr>
    </xdr:pic>
    <xdr:clientData/>
  </xdr:twoCellAnchor>
  <xdr:twoCellAnchor editAs="oneCell">
    <xdr:from>
      <xdr:col>8</xdr:col>
      <xdr:colOff>135731</xdr:colOff>
      <xdr:row>6</xdr:row>
      <xdr:rowOff>123823</xdr:rowOff>
    </xdr:from>
    <xdr:to>
      <xdr:col>9</xdr:col>
      <xdr:colOff>1056937</xdr:colOff>
      <xdr:row>10</xdr:row>
      <xdr:rowOff>133347</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2"/>
        <a:srcRect t="8420"/>
        <a:stretch/>
      </xdr:blipFill>
      <xdr:spPr>
        <a:xfrm>
          <a:off x="9291637" y="2814636"/>
          <a:ext cx="2095163" cy="1678781"/>
        </a:xfrm>
        <a:prstGeom prst="rect">
          <a:avLst/>
        </a:prstGeom>
      </xdr:spPr>
    </xdr:pic>
    <xdr:clientData/>
  </xdr:twoCellAnchor>
  <xdr:twoCellAnchor editAs="oneCell">
    <xdr:from>
      <xdr:col>8</xdr:col>
      <xdr:colOff>142876</xdr:colOff>
      <xdr:row>9</xdr:row>
      <xdr:rowOff>631031</xdr:rowOff>
    </xdr:from>
    <xdr:to>
      <xdr:col>10</xdr:col>
      <xdr:colOff>11818</xdr:colOff>
      <xdr:row>12</xdr:row>
      <xdr:rowOff>95250</xdr:rowOff>
    </xdr:to>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9298782" y="4524375"/>
          <a:ext cx="2131130" cy="1297781"/>
        </a:xfrm>
        <a:prstGeom prst="rect">
          <a:avLst/>
        </a:prstGeom>
      </xdr:spPr>
    </xdr:pic>
    <xdr:clientData/>
  </xdr:twoCellAnchor>
  <xdr:oneCellAnchor>
    <xdr:from>
      <xdr:col>1</xdr:col>
      <xdr:colOff>230981</xdr:colOff>
      <xdr:row>7</xdr:row>
      <xdr:rowOff>219074</xdr:rowOff>
    </xdr:from>
    <xdr:ext cx="4293393" cy="2209800"/>
    <xdr:sp macro="" textlink="">
      <xdr:nvSpPr>
        <xdr:cNvPr id="2" name="テキスト ボックス 1">
          <a:extLst>
            <a:ext uri="{FF2B5EF4-FFF2-40B4-BE49-F238E27FC236}">
              <a16:creationId xmlns:a16="http://schemas.microsoft.com/office/drawing/2014/main" id="{171B9123-8885-48DD-8FA3-CEB964708B0B}"/>
            </a:ext>
          </a:extLst>
        </xdr:cNvPr>
        <xdr:cNvSpPr txBox="1"/>
      </xdr:nvSpPr>
      <xdr:spPr>
        <a:xfrm>
          <a:off x="492919" y="3100387"/>
          <a:ext cx="4293393" cy="2209800"/>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chemeClr val="tx1"/>
              </a:solidFill>
            </a:rPr>
            <a:t>12</a:t>
          </a:r>
          <a:r>
            <a:rPr kumimoji="1" lang="ja-JP" altLang="en-US" sz="2000" b="1">
              <a:solidFill>
                <a:schemeClr val="tx1"/>
              </a:solidFill>
            </a:rPr>
            <a:t>月</a:t>
          </a:r>
          <a:r>
            <a:rPr kumimoji="1" lang="en-US" altLang="ja-JP" sz="2000" b="1">
              <a:solidFill>
                <a:schemeClr val="tx1"/>
              </a:solidFill>
            </a:rPr>
            <a:t>7</a:t>
          </a:r>
          <a:r>
            <a:rPr kumimoji="1" lang="ja-JP" altLang="en-US" sz="2000" b="1">
              <a:solidFill>
                <a:schemeClr val="tx1"/>
              </a:solidFill>
            </a:rPr>
            <a:t>日交流試合は地元中学生の</a:t>
          </a:r>
          <a:endParaRPr kumimoji="1" lang="en-US" altLang="ja-JP" sz="2000" b="1">
            <a:solidFill>
              <a:schemeClr val="tx1"/>
            </a:solidFill>
          </a:endParaRPr>
        </a:p>
        <a:p>
          <a:r>
            <a:rPr kumimoji="1" lang="ja-JP" altLang="en-US" sz="2000" b="1">
              <a:solidFill>
                <a:schemeClr val="tx1"/>
              </a:solidFill>
            </a:rPr>
            <a:t>申込がなかったため見送りとなり</a:t>
          </a:r>
          <a:endParaRPr kumimoji="1" lang="en-US" altLang="ja-JP" sz="2000" b="1">
            <a:solidFill>
              <a:schemeClr val="tx1"/>
            </a:solidFill>
          </a:endParaRPr>
        </a:p>
        <a:p>
          <a:r>
            <a:rPr kumimoji="1" lang="ja-JP" altLang="en-US" sz="2000" b="1">
              <a:solidFill>
                <a:schemeClr val="tx1"/>
              </a:solidFill>
            </a:rPr>
            <a:t>ましたので、活動希望者は事前</a:t>
          </a:r>
          <a:endParaRPr kumimoji="1" lang="en-US" altLang="ja-JP" sz="2000" b="1">
            <a:solidFill>
              <a:schemeClr val="tx1"/>
            </a:solidFill>
          </a:endParaRPr>
        </a:p>
        <a:p>
          <a:r>
            <a:rPr kumimoji="1" lang="ja-JP" altLang="en-US" sz="2000" b="1">
              <a:solidFill>
                <a:schemeClr val="tx1"/>
              </a:solidFill>
            </a:rPr>
            <a:t>予約下さい</a:t>
          </a:r>
          <a:endParaRPr kumimoji="1" lang="en-US" altLang="ja-JP" sz="2000" b="1">
            <a:solidFill>
              <a:schemeClr val="tx1"/>
            </a:solidFill>
          </a:endParaRPr>
        </a:p>
        <a:p>
          <a:r>
            <a:rPr kumimoji="1" lang="en-US" altLang="ja-JP" sz="2000" b="1">
              <a:solidFill>
                <a:srgbClr val="FF0000"/>
              </a:solidFill>
            </a:rPr>
            <a:t>12</a:t>
          </a:r>
          <a:r>
            <a:rPr kumimoji="1" lang="ja-JP" altLang="en-US" sz="2000" b="1">
              <a:solidFill>
                <a:srgbClr val="FF0000"/>
              </a:solidFill>
            </a:rPr>
            <a:t>月</a:t>
          </a:r>
          <a:r>
            <a:rPr kumimoji="1" lang="en-US" altLang="ja-JP" sz="2000" b="1">
              <a:solidFill>
                <a:srgbClr val="FF0000"/>
              </a:solidFill>
            </a:rPr>
            <a:t>21</a:t>
          </a:r>
          <a:r>
            <a:rPr kumimoji="1" lang="ja-JP" altLang="en-US" sz="2000" b="1">
              <a:solidFill>
                <a:srgbClr val="FF0000"/>
              </a:solidFill>
            </a:rPr>
            <a:t>日は中学校テニス大会の</a:t>
          </a:r>
          <a:endParaRPr kumimoji="1" lang="en-US" altLang="ja-JP" sz="2000" b="1">
            <a:solidFill>
              <a:srgbClr val="FF0000"/>
            </a:solidFill>
          </a:endParaRPr>
        </a:p>
        <a:p>
          <a:r>
            <a:rPr kumimoji="1" lang="ja-JP" altLang="en-US" sz="2000" b="1">
              <a:solidFill>
                <a:srgbClr val="FF0000"/>
              </a:solidFill>
            </a:rPr>
            <a:t>予定次第で予定変更有</a:t>
          </a:r>
          <a:endParaRPr kumimoji="1" lang="en-US" altLang="ja-JP" sz="20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292893</xdr:colOff>
      <xdr:row>12</xdr:row>
      <xdr:rowOff>78581</xdr:rowOff>
    </xdr:from>
    <xdr:to>
      <xdr:col>9</xdr:col>
      <xdr:colOff>1042987</xdr:colOff>
      <xdr:row>15</xdr:row>
      <xdr:rowOff>240507</xdr:rowOff>
    </xdr:to>
    <xdr:sp macro="" textlink="">
      <xdr:nvSpPr>
        <xdr:cNvPr id="8" name="テキスト ボックス 7" descr="住所&#10;郵便番号、都道府県、市&#10;&#10;電話&#10;FAX&#10;電子メール&#10;Web" title="アドレス帳">
          <a:extLst>
            <a:ext uri="{FF2B5EF4-FFF2-40B4-BE49-F238E27FC236}">
              <a16:creationId xmlns:a16="http://schemas.microsoft.com/office/drawing/2014/main" id="{00000000-0008-0000-0300-000008000000}"/>
            </a:ext>
          </a:extLst>
        </xdr:cNvPr>
        <xdr:cNvSpPr txBox="1"/>
      </xdr:nvSpPr>
      <xdr:spPr>
        <a:xfrm>
          <a:off x="8996362" y="5829300"/>
          <a:ext cx="1928813" cy="1364457"/>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135730</xdr:colOff>
      <xdr:row>6</xdr:row>
      <xdr:rowOff>1</xdr:rowOff>
    </xdr:from>
    <xdr:ext cx="4095750" cy="215503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97668" y="2690814"/>
          <a:ext cx="4095750" cy="2155030"/>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　４月からの予定</a:t>
          </a:r>
          <a:endParaRPr kumimoji="1" lang="en-US" altLang="ja-JP" sz="2000" b="1">
            <a:solidFill>
              <a:schemeClr val="tx1"/>
            </a:solidFill>
          </a:endParaRPr>
        </a:p>
        <a:p>
          <a:r>
            <a:rPr kumimoji="1" lang="ja-JP" altLang="en-US" sz="2000" b="1">
              <a:solidFill>
                <a:schemeClr val="tx1"/>
              </a:solidFill>
            </a:rPr>
            <a:t>毎週土曜午後１２時～１８時</a:t>
          </a:r>
          <a:br>
            <a:rPr kumimoji="1" lang="en-US" altLang="ja-JP" sz="2000" b="1">
              <a:solidFill>
                <a:schemeClr val="tx1"/>
              </a:solidFill>
            </a:rPr>
          </a:br>
          <a:r>
            <a:rPr kumimoji="1" lang="en-US" altLang="ja-JP" sz="2000" b="1">
              <a:solidFill>
                <a:schemeClr val="tx1"/>
              </a:solidFill>
            </a:rPr>
            <a:t>※</a:t>
          </a:r>
          <a:r>
            <a:rPr kumimoji="1" lang="ja-JP" altLang="en-US" sz="2000" b="1">
              <a:solidFill>
                <a:schemeClr val="tx1"/>
              </a:solidFill>
            </a:rPr>
            <a:t>冬期は夕暮れで終了</a:t>
          </a:r>
          <a:endParaRPr kumimoji="1" lang="en-US" altLang="ja-JP" sz="2000" b="1">
            <a:solidFill>
              <a:schemeClr val="tx1"/>
            </a:solidFill>
          </a:endParaRPr>
        </a:p>
        <a:p>
          <a:r>
            <a:rPr kumimoji="1" lang="ja-JP" altLang="en-US" sz="2000" b="1">
              <a:solidFill>
                <a:schemeClr val="tx1"/>
              </a:solidFill>
            </a:rPr>
            <a:t>注意：学校教育活動により</a:t>
          </a:r>
          <a:endParaRPr kumimoji="1" lang="en-US" altLang="ja-JP" sz="2000" b="1">
            <a:solidFill>
              <a:schemeClr val="tx1"/>
            </a:solidFill>
          </a:endParaRPr>
        </a:p>
        <a:p>
          <a:r>
            <a:rPr kumimoji="1" lang="ja-JP" altLang="en-US" sz="2000" b="1">
              <a:solidFill>
                <a:schemeClr val="tx1"/>
              </a:solidFill>
            </a:rPr>
            <a:t>　　　中止</a:t>
          </a:r>
          <a:r>
            <a:rPr kumimoji="1" lang="en-US" altLang="ja-JP" sz="2000" b="1">
              <a:solidFill>
                <a:schemeClr val="tx1"/>
              </a:solidFill>
            </a:rPr>
            <a:t>or</a:t>
          </a:r>
          <a:r>
            <a:rPr kumimoji="1" lang="ja-JP" altLang="en-US" sz="2000" b="1">
              <a:solidFill>
                <a:schemeClr val="tx1"/>
              </a:solidFill>
            </a:rPr>
            <a:t>時間短縮も有</a:t>
          </a:r>
          <a:endParaRPr kumimoji="1" lang="en-US" altLang="ja-JP" sz="2000" b="1">
            <a:solidFill>
              <a:schemeClr val="tx1"/>
            </a:solidFill>
          </a:endParaRPr>
        </a:p>
      </xdr:txBody>
    </xdr:sp>
    <xdr:clientData/>
  </xdr:oneCellAnchor>
  <xdr:twoCellAnchor editAs="oneCell">
    <xdr:from>
      <xdr:col>8</xdr:col>
      <xdr:colOff>273845</xdr:colOff>
      <xdr:row>3</xdr:row>
      <xdr:rowOff>261938</xdr:rowOff>
    </xdr:from>
    <xdr:to>
      <xdr:col>9</xdr:col>
      <xdr:colOff>1031836</xdr:colOff>
      <xdr:row>7</xdr:row>
      <xdr:rowOff>302417</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8977314" y="1607344"/>
          <a:ext cx="1936710" cy="1576386"/>
        </a:xfrm>
        <a:prstGeom prst="rect">
          <a:avLst/>
        </a:prstGeom>
      </xdr:spPr>
    </xdr:pic>
    <xdr:clientData/>
  </xdr:twoCellAnchor>
  <xdr:twoCellAnchor editAs="oneCell">
    <xdr:from>
      <xdr:col>8</xdr:col>
      <xdr:colOff>285751</xdr:colOff>
      <xdr:row>7</xdr:row>
      <xdr:rowOff>564491</xdr:rowOff>
    </xdr:from>
    <xdr:to>
      <xdr:col>9</xdr:col>
      <xdr:colOff>1012032</xdr:colOff>
      <xdr:row>11</xdr:row>
      <xdr:rowOff>557231</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8989220" y="3445804"/>
          <a:ext cx="1905000" cy="2100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142874</xdr:colOff>
      <xdr:row>13</xdr:row>
      <xdr:rowOff>290513</xdr:rowOff>
    </xdr:from>
    <xdr:to>
      <xdr:col>9</xdr:col>
      <xdr:colOff>1012030</xdr:colOff>
      <xdr:row>15</xdr:row>
      <xdr:rowOff>652463</xdr:rowOff>
    </xdr:to>
    <xdr:sp macro="" textlink="">
      <xdr:nvSpPr>
        <xdr:cNvPr id="10" name="テキスト ボックス 9" descr="住所&#10;郵便番号、都道府県、市&#10;&#10;電話&#10;FAX&#10;電子メール&#10;Web" title="アドレス帳">
          <a:extLst>
            <a:ext uri="{FF2B5EF4-FFF2-40B4-BE49-F238E27FC236}">
              <a16:creationId xmlns:a16="http://schemas.microsoft.com/office/drawing/2014/main" id="{00000000-0008-0000-0400-00000A000000}"/>
            </a:ext>
          </a:extLst>
        </xdr:cNvPr>
        <xdr:cNvSpPr txBox="1"/>
      </xdr:nvSpPr>
      <xdr:spPr>
        <a:xfrm>
          <a:off x="8739187" y="4600576"/>
          <a:ext cx="2047874" cy="137398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107156</xdr:colOff>
      <xdr:row>3</xdr:row>
      <xdr:rowOff>202406</xdr:rowOff>
    </xdr:from>
    <xdr:to>
      <xdr:col>9</xdr:col>
      <xdr:colOff>1009665</xdr:colOff>
      <xdr:row>13</xdr:row>
      <xdr:rowOff>388163</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703469" y="1547812"/>
          <a:ext cx="2081227" cy="2952772"/>
        </a:xfrm>
        <a:prstGeom prst="rect">
          <a:avLst/>
        </a:prstGeom>
      </xdr:spPr>
    </xdr:pic>
    <xdr:clientData/>
  </xdr:twoCellAnchor>
  <xdr:oneCellAnchor>
    <xdr:from>
      <xdr:col>1</xdr:col>
      <xdr:colOff>273844</xdr:colOff>
      <xdr:row>6</xdr:row>
      <xdr:rowOff>28575</xdr:rowOff>
    </xdr:from>
    <xdr:ext cx="3786187" cy="235267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535782" y="2314575"/>
          <a:ext cx="3786187" cy="2352675"/>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　４月からの予定</a:t>
          </a:r>
          <a:endParaRPr kumimoji="1" lang="en-US" altLang="ja-JP" sz="2000" b="1">
            <a:solidFill>
              <a:schemeClr val="tx1"/>
            </a:solidFill>
          </a:endParaRPr>
        </a:p>
        <a:p>
          <a:r>
            <a:rPr kumimoji="1" lang="ja-JP" altLang="en-US" sz="2000" b="1">
              <a:solidFill>
                <a:schemeClr val="tx1"/>
              </a:solidFill>
            </a:rPr>
            <a:t>毎週土曜午後１３時～１８時</a:t>
          </a:r>
          <a:br>
            <a:rPr kumimoji="1" lang="en-US" altLang="ja-JP" sz="2000" b="1">
              <a:solidFill>
                <a:schemeClr val="tx1"/>
              </a:solidFill>
            </a:rPr>
          </a:br>
          <a:r>
            <a:rPr kumimoji="1" lang="en-US" altLang="ja-JP" sz="2000" b="1">
              <a:solidFill>
                <a:schemeClr val="tx1"/>
              </a:solidFill>
            </a:rPr>
            <a:t>※</a:t>
          </a:r>
          <a:r>
            <a:rPr kumimoji="1" lang="ja-JP" altLang="en-US" sz="2000" b="1">
              <a:solidFill>
                <a:schemeClr val="tx1"/>
              </a:solidFill>
            </a:rPr>
            <a:t>冬期は夕暮れで終了</a:t>
          </a:r>
          <a:endParaRPr kumimoji="1" lang="en-US" altLang="ja-JP" sz="2000" b="1">
            <a:solidFill>
              <a:schemeClr val="tx1"/>
            </a:solidFill>
          </a:endParaRPr>
        </a:p>
        <a:p>
          <a:r>
            <a:rPr kumimoji="1" lang="ja-JP" altLang="en-US" sz="2000" b="1">
              <a:solidFill>
                <a:schemeClr val="tx1"/>
              </a:solidFill>
            </a:rPr>
            <a:t>注意：学校教育活動により</a:t>
          </a:r>
          <a:endParaRPr kumimoji="1" lang="en-US" altLang="ja-JP" sz="2000" b="1">
            <a:solidFill>
              <a:schemeClr val="tx1"/>
            </a:solidFill>
          </a:endParaRPr>
        </a:p>
        <a:p>
          <a:r>
            <a:rPr kumimoji="1" lang="ja-JP" altLang="en-US" sz="2000" b="1">
              <a:solidFill>
                <a:schemeClr val="tx1"/>
              </a:solidFill>
            </a:rPr>
            <a:t>　　　中止</a:t>
          </a:r>
          <a:r>
            <a:rPr kumimoji="1" lang="en-US" altLang="ja-JP" sz="2000" b="1">
              <a:solidFill>
                <a:schemeClr val="tx1"/>
              </a:solidFill>
            </a:rPr>
            <a:t>or</a:t>
          </a:r>
          <a:r>
            <a:rPr kumimoji="1" lang="ja-JP" altLang="en-US" sz="2000" b="1">
              <a:solidFill>
                <a:schemeClr val="tx1"/>
              </a:solidFill>
            </a:rPr>
            <a:t>時間短縮も有</a:t>
          </a:r>
          <a:br>
            <a:rPr kumimoji="1" lang="en-US" altLang="ja-JP" sz="2000" b="1">
              <a:solidFill>
                <a:schemeClr val="tx1"/>
              </a:solidFill>
            </a:rPr>
          </a:br>
          <a:r>
            <a:rPr kumimoji="1" lang="ja-JP" altLang="en-US" sz="2000" b="1">
              <a:solidFill>
                <a:schemeClr val="tx1"/>
              </a:solidFill>
            </a:rPr>
            <a:t>　　　基本日曜活動は無</a:t>
          </a:r>
          <a:endParaRPr kumimoji="1" lang="en-US" altLang="ja-JP" sz="2000" b="1">
            <a:solidFill>
              <a:schemeClr val="tx1"/>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173831</xdr:colOff>
      <xdr:row>12</xdr:row>
      <xdr:rowOff>100013</xdr:rowOff>
    </xdr:from>
    <xdr:to>
      <xdr:col>9</xdr:col>
      <xdr:colOff>928687</xdr:colOff>
      <xdr:row>15</xdr:row>
      <xdr:rowOff>276224</xdr:rowOff>
    </xdr:to>
    <xdr:sp macro="" textlink="">
      <xdr:nvSpPr>
        <xdr:cNvPr id="2" name="テキスト ボックス 1" descr="住所&#10;郵便番号、都道府県、市&#10;&#10;電話&#10;FAX&#10;電子メール&#10;Web" title="アドレス帳">
          <a:extLst>
            <a:ext uri="{FF2B5EF4-FFF2-40B4-BE49-F238E27FC236}">
              <a16:creationId xmlns:a16="http://schemas.microsoft.com/office/drawing/2014/main" id="{00000000-0008-0000-0500-000002000000}"/>
            </a:ext>
          </a:extLst>
        </xdr:cNvPr>
        <xdr:cNvSpPr txBox="1"/>
      </xdr:nvSpPr>
      <xdr:spPr>
        <a:xfrm>
          <a:off x="8901112" y="5826919"/>
          <a:ext cx="1933575" cy="137874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57151</xdr:colOff>
      <xdr:row>5</xdr:row>
      <xdr:rowOff>184315</xdr:rowOff>
    </xdr:from>
    <xdr:to>
      <xdr:col>9</xdr:col>
      <xdr:colOff>992980</xdr:colOff>
      <xdr:row>7</xdr:row>
      <xdr:rowOff>628888</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8784432" y="2053596"/>
          <a:ext cx="2105024" cy="1451843"/>
        </a:xfrm>
        <a:prstGeom prst="rect">
          <a:avLst/>
        </a:prstGeom>
      </xdr:spPr>
    </xdr:pic>
    <xdr:clientData/>
  </xdr:twoCellAnchor>
  <xdr:twoCellAnchor editAs="oneCell">
    <xdr:from>
      <xdr:col>8</xdr:col>
      <xdr:colOff>68017</xdr:colOff>
      <xdr:row>9</xdr:row>
      <xdr:rowOff>639141</xdr:rowOff>
    </xdr:from>
    <xdr:to>
      <xdr:col>9</xdr:col>
      <xdr:colOff>988220</xdr:colOff>
      <xdr:row>12</xdr:row>
      <xdr:rowOff>11906</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8795298" y="4532485"/>
          <a:ext cx="2098922" cy="1206327"/>
        </a:xfrm>
        <a:prstGeom prst="rect">
          <a:avLst/>
        </a:prstGeom>
      </xdr:spPr>
    </xdr:pic>
    <xdr:clientData/>
  </xdr:twoCellAnchor>
  <xdr:twoCellAnchor editAs="oneCell">
    <xdr:from>
      <xdr:col>8</xdr:col>
      <xdr:colOff>76083</xdr:colOff>
      <xdr:row>7</xdr:row>
      <xdr:rowOff>559593</xdr:rowOff>
    </xdr:from>
    <xdr:to>
      <xdr:col>9</xdr:col>
      <xdr:colOff>1000123</xdr:colOff>
      <xdr:row>9</xdr:row>
      <xdr:rowOff>705479</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8803364" y="3440906"/>
          <a:ext cx="2102759" cy="1153155"/>
        </a:xfrm>
        <a:prstGeom prst="rect">
          <a:avLst/>
        </a:prstGeom>
      </xdr:spPr>
    </xdr:pic>
    <xdr:clientData/>
  </xdr:twoCellAnchor>
  <xdr:oneCellAnchor>
    <xdr:from>
      <xdr:col>1</xdr:col>
      <xdr:colOff>416719</xdr:colOff>
      <xdr:row>9</xdr:row>
      <xdr:rowOff>130969</xdr:rowOff>
    </xdr:from>
    <xdr:ext cx="3369468" cy="1012031"/>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78657" y="4024313"/>
          <a:ext cx="3369468" cy="1012031"/>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chemeClr val="tx1"/>
              </a:solidFill>
            </a:rPr>
            <a:t>4/27</a:t>
          </a:r>
          <a:r>
            <a:rPr kumimoji="1" lang="ja-JP" altLang="en-US" sz="2000" b="1">
              <a:solidFill>
                <a:schemeClr val="tx1"/>
              </a:solidFill>
            </a:rPr>
            <a:t>（土）⇒</a:t>
          </a:r>
          <a:r>
            <a:rPr kumimoji="1" lang="en-US" altLang="ja-JP" sz="2000" b="1">
              <a:solidFill>
                <a:schemeClr val="tx1"/>
              </a:solidFill>
            </a:rPr>
            <a:t>4/29</a:t>
          </a:r>
          <a:r>
            <a:rPr kumimoji="1" lang="ja-JP" altLang="en-US" sz="2000" b="1">
              <a:solidFill>
                <a:schemeClr val="tx1"/>
              </a:solidFill>
            </a:rPr>
            <a:t>（月）</a:t>
          </a:r>
          <a:endParaRPr kumimoji="1" lang="en-US" altLang="ja-JP" sz="2000" b="1">
            <a:solidFill>
              <a:schemeClr val="tx1"/>
            </a:solidFill>
          </a:endParaRPr>
        </a:p>
        <a:p>
          <a:r>
            <a:rPr kumimoji="1" lang="ja-JP" altLang="en-US" sz="2000" b="1">
              <a:solidFill>
                <a:schemeClr val="tx1"/>
              </a:solidFill>
            </a:rPr>
            <a:t>学校事由による変更</a:t>
          </a:r>
          <a:endParaRPr kumimoji="1" lang="en-US" altLang="ja-JP" sz="2000" b="1">
            <a:solidFill>
              <a:schemeClr val="tx1"/>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264317</xdr:colOff>
      <xdr:row>12</xdr:row>
      <xdr:rowOff>52386</xdr:rowOff>
    </xdr:from>
    <xdr:to>
      <xdr:col>9</xdr:col>
      <xdr:colOff>1019174</xdr:colOff>
      <xdr:row>15</xdr:row>
      <xdr:rowOff>223836</xdr:rowOff>
    </xdr:to>
    <xdr:sp macro="" textlink="">
      <xdr:nvSpPr>
        <xdr:cNvPr id="4" name="テキスト ボックス 3" descr="住所&#10;郵便番号、都道府県、市&#10;&#10;電話&#10;FAX&#10;電子メール&#10;Web" title="アドレス帳">
          <a:extLst>
            <a:ext uri="{FF2B5EF4-FFF2-40B4-BE49-F238E27FC236}">
              <a16:creationId xmlns:a16="http://schemas.microsoft.com/office/drawing/2014/main" id="{00000000-0008-0000-0600-000004000000}"/>
            </a:ext>
          </a:extLst>
        </xdr:cNvPr>
        <xdr:cNvSpPr txBox="1"/>
      </xdr:nvSpPr>
      <xdr:spPr>
        <a:xfrm>
          <a:off x="8765380" y="6184105"/>
          <a:ext cx="1933575" cy="1373981"/>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ベイサイド本牧スポーツ</a:t>
          </a:r>
          <a:endPar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アカデミー</a:t>
          </a:r>
          <a:endParaRPr lang="ja-JP" altLang="ja-JP" sz="1000">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b="0" i="0" baseline="0">
              <a:solidFill>
                <a:schemeClr val="dk1"/>
              </a:solidFill>
              <a:effectLst/>
              <a:latin typeface="HG丸ｺﾞｼｯｸM-PRO" panose="020F0600000000000000" pitchFamily="50" charset="-128"/>
              <a:ea typeface="HG丸ｺﾞｼｯｸM-PRO" panose="020F0600000000000000" pitchFamily="50" charset="-128"/>
              <a:cs typeface="+mn-cs"/>
            </a:rPr>
            <a:t>各クラスが最小遂行人数以下の場合、前クラスの活動を継続する場合もあります</a:t>
          </a:r>
          <a:endParaRPr lang="ja-JP" altLang="ja-JP" sz="100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8</xdr:col>
      <xdr:colOff>238124</xdr:colOff>
      <xdr:row>2</xdr:row>
      <xdr:rowOff>666749</xdr:rowOff>
    </xdr:from>
    <xdr:to>
      <xdr:col>9</xdr:col>
      <xdr:colOff>1035844</xdr:colOff>
      <xdr:row>9</xdr:row>
      <xdr:rowOff>85876</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8739187" y="1226343"/>
          <a:ext cx="1976438" cy="2133752"/>
        </a:xfrm>
        <a:prstGeom prst="rect">
          <a:avLst/>
        </a:prstGeom>
      </xdr:spPr>
    </xdr:pic>
    <xdr:clientData/>
  </xdr:twoCellAnchor>
  <xdr:twoCellAnchor editAs="oneCell">
    <xdr:from>
      <xdr:col>8</xdr:col>
      <xdr:colOff>226218</xdr:colOff>
      <xdr:row>7</xdr:row>
      <xdr:rowOff>368888</xdr:rowOff>
    </xdr:from>
    <xdr:to>
      <xdr:col>9</xdr:col>
      <xdr:colOff>1040605</xdr:colOff>
      <xdr:row>12</xdr:row>
      <xdr:rowOff>66861</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a:srcRect t="27843"/>
        <a:stretch/>
      </xdr:blipFill>
      <xdr:spPr>
        <a:xfrm>
          <a:off x="8727281" y="2952544"/>
          <a:ext cx="1993105" cy="1555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295275</xdr:colOff>
      <xdr:row>11</xdr:row>
      <xdr:rowOff>742950</xdr:rowOff>
    </xdr:from>
    <xdr:to>
      <xdr:col>9</xdr:col>
      <xdr:colOff>1043524</xdr:colOff>
      <xdr:row>15</xdr:row>
      <xdr:rowOff>804185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700-000007000000}"/>
            </a:ext>
          </a:extLst>
        </xdr:cNvPr>
        <xdr:cNvSpPr txBox="1"/>
      </xdr:nvSpPr>
      <xdr:spPr>
        <a:xfrm>
          <a:off x="8829675" y="564832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A19574"/>
              </a:solidFill>
              <a:effectLst/>
              <a:uLnTx/>
              <a:uFillTx/>
              <a:latin typeface="Meiryo UI" panose="020B0604030504040204" pitchFamily="50" charset="-128"/>
              <a:ea typeface="Meiryo UI" panose="020B0604030504040204" pitchFamily="50" charset="-128"/>
              <a:cs typeface="Meiryo UI" panose="020B0604030504040204" pitchFamily="50" charset="-128"/>
            </a:rPr>
            <a:t>ベイサイド本牧スポーツアカデミー</a:t>
          </a:r>
          <a:endParaRPr kumimoji="0" lang="en-US" altLang="ja-JP"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schemeClr val="dk1"/>
              </a:solidFill>
              <a:effectLst/>
              <a:uLnTx/>
              <a:uFillTx/>
              <a:latin typeface="+mn-lt"/>
              <a:ea typeface="+mn-ea"/>
              <a:cs typeface="+mn-cs"/>
            </a:rPr>
          </a:br>
          <a:r>
            <a:rPr kumimoji="0" lang="ja-JP" altLang="en-US" sz="1100" b="0" i="0" u="none" strike="noStrike" kern="0" cap="none" spc="0" normalizeH="0" baseline="0" noProof="0">
              <a:ln>
                <a:noFill/>
              </a:ln>
              <a:solidFill>
                <a:schemeClr val="dk1"/>
              </a:solidFill>
              <a:effectLst/>
              <a:uLnTx/>
              <a:uFillTx/>
              <a:latin typeface="+mn-lt"/>
              <a:ea typeface="+mn-ea"/>
              <a:cs typeface="+mn-cs"/>
            </a:rPr>
            <a:t>各クラスが最小遂行人数以下の場合、前クラスの活動を継続する場合もあります</a:t>
          </a:r>
          <a:endParaRPr kumimoji="0" lang="en-US" altLang="ja-JP"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chemeClr val="dk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494618</xdr:colOff>
      <xdr:row>5</xdr:row>
      <xdr:rowOff>521834</xdr:rowOff>
    </xdr:from>
    <xdr:ext cx="4022953" cy="2117951"/>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66761" y="2399620"/>
          <a:ext cx="4022953" cy="2117951"/>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chemeClr val="tx1"/>
              </a:solidFill>
            </a:rPr>
            <a:t>6/8</a:t>
          </a:r>
          <a:r>
            <a:rPr kumimoji="1" lang="ja-JP" altLang="en-US" sz="2000" b="1">
              <a:solidFill>
                <a:schemeClr val="tx1"/>
              </a:solidFill>
            </a:rPr>
            <a:t>（三ッ沢）</a:t>
          </a:r>
          <a:r>
            <a:rPr kumimoji="1" lang="en-US" altLang="ja-JP" sz="2000" b="1">
              <a:solidFill>
                <a:schemeClr val="tx1"/>
              </a:solidFill>
            </a:rPr>
            <a:t>,9</a:t>
          </a:r>
          <a:r>
            <a:rPr kumimoji="1" lang="ja-JP" altLang="en-US" sz="2000" b="1">
              <a:solidFill>
                <a:schemeClr val="tx1"/>
              </a:solidFill>
            </a:rPr>
            <a:t>（長浜）</a:t>
          </a:r>
          <a:endParaRPr kumimoji="1" lang="en-US" altLang="ja-JP" sz="2000" b="1">
            <a:solidFill>
              <a:schemeClr val="tx1"/>
            </a:solidFill>
          </a:endParaRPr>
        </a:p>
        <a:p>
          <a:r>
            <a:rPr kumimoji="1" lang="ja-JP" altLang="en-US" sz="2000" b="1">
              <a:solidFill>
                <a:schemeClr val="tx1"/>
              </a:solidFill>
            </a:rPr>
            <a:t>県立公立中学校テニス大会</a:t>
          </a:r>
          <a:endParaRPr kumimoji="1" lang="en-US" altLang="ja-JP" sz="2000" b="1">
            <a:solidFill>
              <a:schemeClr val="tx1"/>
            </a:solidFill>
          </a:endParaRPr>
        </a:p>
        <a:p>
          <a:r>
            <a:rPr kumimoji="1" lang="ja-JP" altLang="en-US" sz="2000" b="1">
              <a:solidFill>
                <a:schemeClr val="tx1"/>
              </a:solidFill>
            </a:rPr>
            <a:t>夏季団体戦</a:t>
          </a:r>
          <a:endParaRPr kumimoji="1" lang="en-US" altLang="ja-JP" sz="2000" b="1">
            <a:solidFill>
              <a:schemeClr val="tx1"/>
            </a:solidFill>
          </a:endParaRPr>
        </a:p>
        <a:p>
          <a:r>
            <a:rPr kumimoji="1" lang="en-US" altLang="ja-JP" sz="2000" b="1">
              <a:solidFill>
                <a:schemeClr val="tx1"/>
              </a:solidFill>
            </a:rPr>
            <a:t>6/23,29,30</a:t>
          </a:r>
        </a:p>
        <a:p>
          <a:r>
            <a:rPr kumimoji="1" lang="ja-JP" altLang="en-US" sz="2000" b="1">
              <a:solidFill>
                <a:schemeClr val="tx1"/>
              </a:solidFill>
            </a:rPr>
            <a:t>横浜ブロック中学校大会予選</a:t>
          </a:r>
          <a:endParaRPr kumimoji="1" lang="en-US" altLang="ja-JP" sz="2000" b="1">
            <a:solidFill>
              <a:schemeClr val="tx1"/>
            </a:solidFill>
          </a:endParaRPr>
        </a:p>
        <a:p>
          <a:r>
            <a:rPr kumimoji="1" lang="ja-JP" altLang="en-US" sz="2000" b="1">
              <a:solidFill>
                <a:schemeClr val="tx1"/>
              </a:solidFill>
            </a:rPr>
            <a:t>団体戦</a:t>
          </a:r>
          <a:endParaRPr kumimoji="1" lang="en-US" altLang="ja-JP" sz="2000" b="1">
            <a:solidFill>
              <a:schemeClr val="tx1"/>
            </a:solidFill>
          </a:endParaRPr>
        </a:p>
        <a:p>
          <a:endParaRPr kumimoji="1" lang="en-US" altLang="ja-JP" sz="2000" b="1">
            <a:solidFill>
              <a:schemeClr val="tx1"/>
            </a:solidFill>
          </a:endParaRPr>
        </a:p>
      </xdr:txBody>
    </xdr:sp>
    <xdr:clientData/>
  </xdr:oneCellAnchor>
  <xdr:twoCellAnchor editAs="oneCell">
    <xdr:from>
      <xdr:col>8</xdr:col>
      <xdr:colOff>68034</xdr:colOff>
      <xdr:row>2</xdr:row>
      <xdr:rowOff>45583</xdr:rowOff>
    </xdr:from>
    <xdr:to>
      <xdr:col>10</xdr:col>
      <xdr:colOff>115752</xdr:colOff>
      <xdr:row>7</xdr:row>
      <xdr:rowOff>276904</xdr:rowOff>
    </xdr:to>
    <xdr:pic>
      <xdr:nvPicPr>
        <xdr:cNvPr id="10" name="コンテンツ プレースホルダー 14">
          <a:extLst>
            <a:ext uri="{FF2B5EF4-FFF2-40B4-BE49-F238E27FC236}">
              <a16:creationId xmlns:a16="http://schemas.microsoft.com/office/drawing/2014/main" id="{00000000-0008-0000-0700-00000A000000}"/>
            </a:ext>
          </a:extLst>
        </xdr:cNvPr>
        <xdr:cNvPicPr>
          <a:picLocks noGrp="1" noChangeAspect="1"/>
        </xdr:cNvPicPr>
      </xdr:nvPicPr>
      <xdr:blipFill>
        <a:blip xmlns:r="http://schemas.openxmlformats.org/officeDocument/2006/relationships" r:embed="rId1"/>
        <a:stretch>
          <a:fillRect/>
        </a:stretch>
      </xdr:blipFill>
      <xdr:spPr>
        <a:xfrm>
          <a:off x="8708570" y="603476"/>
          <a:ext cx="2315349" cy="2294845"/>
        </a:xfrm>
        <a:prstGeom prst="rect">
          <a:avLst/>
        </a:prstGeom>
        <a:ln>
          <a:noFill/>
        </a:ln>
        <a:effectLst>
          <a:softEdge rad="112500"/>
        </a:effectLst>
      </xdr:spPr>
    </xdr:pic>
    <xdr:clientData/>
  </xdr:twoCellAnchor>
  <xdr:twoCellAnchor editAs="oneCell">
    <xdr:from>
      <xdr:col>8</xdr:col>
      <xdr:colOff>77559</xdr:colOff>
      <xdr:row>7</xdr:row>
      <xdr:rowOff>95250</xdr:rowOff>
    </xdr:from>
    <xdr:to>
      <xdr:col>10</xdr:col>
      <xdr:colOff>73827</xdr:colOff>
      <xdr:row>12</xdr:row>
      <xdr:rowOff>45584</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2"/>
        <a:srcRect t="5843" b="16435"/>
        <a:stretch/>
      </xdr:blipFill>
      <xdr:spPr>
        <a:xfrm>
          <a:off x="8718095" y="2721429"/>
          <a:ext cx="2268661" cy="2000250"/>
        </a:xfrm>
        <a:prstGeom prst="rect">
          <a:avLst/>
        </a:prstGeom>
        <a:ln>
          <a:noFill/>
        </a:ln>
        <a:effectLst>
          <a:softEdge rad="112500"/>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285750</xdr:colOff>
      <xdr:row>11</xdr:row>
      <xdr:rowOff>800100</xdr:rowOff>
    </xdr:from>
    <xdr:to>
      <xdr:col>9</xdr:col>
      <xdr:colOff>1033999</xdr:colOff>
      <xdr:row>16</xdr:row>
      <xdr:rowOff>42185</xdr:rowOff>
    </xdr:to>
    <xdr:sp macro="" textlink="">
      <xdr:nvSpPr>
        <xdr:cNvPr id="5" name="テキスト ボックス 4" descr="住所&#10;郵便番号、都道府県、市&#10;&#10;電話&#10;FAX&#10;電子メール&#10;Web" title="アドレス帳">
          <a:extLst>
            <a:ext uri="{FF2B5EF4-FFF2-40B4-BE49-F238E27FC236}">
              <a16:creationId xmlns:a16="http://schemas.microsoft.com/office/drawing/2014/main" id="{00000000-0008-0000-0800-000005000000}"/>
            </a:ext>
          </a:extLst>
        </xdr:cNvPr>
        <xdr:cNvSpPr txBox="1"/>
      </xdr:nvSpPr>
      <xdr:spPr>
        <a:xfrm>
          <a:off x="8820150" y="57054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xdr:txBody>
    </xdr:sp>
    <xdr:clientData/>
  </xdr:twoCellAnchor>
  <xdr:twoCellAnchor editAs="oneCell">
    <xdr:from>
      <xdr:col>8</xdr:col>
      <xdr:colOff>187435</xdr:colOff>
      <xdr:row>5</xdr:row>
      <xdr:rowOff>657904</xdr:rowOff>
    </xdr:from>
    <xdr:to>
      <xdr:col>9</xdr:col>
      <xdr:colOff>1077404</xdr:colOff>
      <xdr:row>9</xdr:row>
      <xdr:rowOff>770162</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8783748" y="2527185"/>
          <a:ext cx="2063925" cy="2131559"/>
        </a:xfrm>
        <a:prstGeom prst="rect">
          <a:avLst/>
        </a:prstGeom>
      </xdr:spPr>
    </xdr:pic>
    <xdr:clientData/>
  </xdr:twoCellAnchor>
  <xdr:twoCellAnchor editAs="oneCell">
    <xdr:from>
      <xdr:col>8</xdr:col>
      <xdr:colOff>192406</xdr:colOff>
      <xdr:row>4</xdr:row>
      <xdr:rowOff>115998</xdr:rowOff>
    </xdr:from>
    <xdr:to>
      <xdr:col>9</xdr:col>
      <xdr:colOff>1078423</xdr:colOff>
      <xdr:row>7</xdr:row>
      <xdr:rowOff>345277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8788719" y="1794779"/>
          <a:ext cx="2064735" cy="1422287"/>
        </a:xfrm>
        <a:prstGeom prst="rect">
          <a:avLst/>
        </a:prstGeom>
      </xdr:spPr>
    </xdr:pic>
    <xdr:clientData/>
  </xdr:twoCellAnchor>
  <xdr:oneCellAnchor>
    <xdr:from>
      <xdr:col>1</xdr:col>
      <xdr:colOff>809625</xdr:colOff>
      <xdr:row>7</xdr:row>
      <xdr:rowOff>107156</xdr:rowOff>
    </xdr:from>
    <xdr:ext cx="1988343" cy="452437"/>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071563" y="2988469"/>
          <a:ext cx="1988343" cy="452437"/>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chemeClr val="tx1"/>
              </a:solidFill>
            </a:rPr>
            <a:t>7/13</a:t>
          </a:r>
          <a:r>
            <a:rPr kumimoji="1" lang="en-US" altLang="ja-JP" sz="2000" b="1" baseline="0">
              <a:solidFill>
                <a:schemeClr val="tx1"/>
              </a:solidFill>
            </a:rPr>
            <a:t> </a:t>
          </a:r>
          <a:r>
            <a:rPr kumimoji="1" lang="ja-JP" altLang="en-US" sz="2000" b="1" baseline="0">
              <a:solidFill>
                <a:schemeClr val="tx1"/>
              </a:solidFill>
            </a:rPr>
            <a:t>体験会</a:t>
          </a:r>
          <a:endParaRPr kumimoji="1" lang="en-US" altLang="ja-JP" sz="2000" b="1">
            <a:solidFill>
              <a:schemeClr val="tx1"/>
            </a:solidFill>
          </a:endParaRPr>
        </a:p>
        <a:p>
          <a:endParaRPr kumimoji="1" lang="en-US" altLang="ja-JP" sz="2000" b="1">
            <a:solidFill>
              <a:schemeClr val="tx1"/>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295275</xdr:colOff>
      <xdr:row>11</xdr:row>
      <xdr:rowOff>762000</xdr:rowOff>
    </xdr:from>
    <xdr:to>
      <xdr:col>9</xdr:col>
      <xdr:colOff>1043524</xdr:colOff>
      <xdr:row>16</xdr:row>
      <xdr:rowOff>4085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900-000007000000}"/>
            </a:ext>
          </a:extLst>
        </xdr:cNvPr>
        <xdr:cNvSpPr txBox="1"/>
      </xdr:nvSpPr>
      <xdr:spPr>
        <a:xfrm>
          <a:off x="8829675" y="56673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xdr:txBody>
    </xdr:sp>
    <xdr:clientData/>
  </xdr:twoCellAnchor>
  <xdr:oneCellAnchor>
    <xdr:from>
      <xdr:col>1</xdr:col>
      <xdr:colOff>29765</xdr:colOff>
      <xdr:row>5</xdr:row>
      <xdr:rowOff>285749</xdr:rowOff>
    </xdr:from>
    <xdr:ext cx="4762500" cy="3821907"/>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291703" y="2155030"/>
          <a:ext cx="4762500" cy="3821907"/>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800">
              <a:solidFill>
                <a:srgbClr val="FF0000"/>
              </a:solidFill>
            </a:rPr>
            <a:t>お盆休み（夏季休暇）の為</a:t>
          </a:r>
          <a:endParaRPr kumimoji="1" lang="en-US" altLang="ja-JP" sz="2800">
            <a:solidFill>
              <a:srgbClr val="FF0000"/>
            </a:solidFill>
          </a:endParaRPr>
        </a:p>
        <a:p>
          <a:r>
            <a:rPr kumimoji="1" lang="ja-JP" altLang="en-US" sz="2800">
              <a:solidFill>
                <a:srgbClr val="FF0000"/>
              </a:solidFill>
            </a:rPr>
            <a:t>通常予定と変わってます</a:t>
          </a:r>
          <a:endParaRPr kumimoji="1" lang="en-US" altLang="ja-JP" sz="2800">
            <a:solidFill>
              <a:srgbClr val="FF0000"/>
            </a:solidFill>
          </a:endParaRPr>
        </a:p>
        <a:p>
          <a:endParaRPr kumimoji="0" lang="en-US" altLang="ja-JP" sz="1100" b="0" i="0" u="none" strike="noStrike">
            <a:solidFill>
              <a:schemeClr val="tx1"/>
            </a:solidFill>
            <a:effectLst/>
            <a:latin typeface="+mn-lt"/>
            <a:ea typeface="+mn-ea"/>
            <a:cs typeface="+mn-cs"/>
          </a:endParaRPr>
        </a:p>
        <a:p>
          <a:r>
            <a:rPr kumimoji="0" lang="en-US" altLang="ja-JP" sz="1600" b="0" i="0" u="none" strike="noStrike">
              <a:solidFill>
                <a:schemeClr val="tx1"/>
              </a:solidFill>
              <a:effectLst/>
              <a:latin typeface="+mn-lt"/>
              <a:ea typeface="+mn-ea"/>
              <a:cs typeface="+mn-cs"/>
            </a:rPr>
            <a:t>8/18</a:t>
          </a:r>
          <a:r>
            <a:rPr kumimoji="0" lang="ja-JP" altLang="en-US" sz="1600" b="0" i="0" u="none" strike="noStrike">
              <a:solidFill>
                <a:schemeClr val="tx1"/>
              </a:solidFill>
              <a:effectLst/>
              <a:latin typeface="+mn-lt"/>
              <a:ea typeface="+mn-ea"/>
              <a:cs typeface="+mn-cs"/>
            </a:rPr>
            <a:t>　学校事由（台風の影響）により活動時間を午後に変更</a:t>
          </a:r>
          <a:endParaRPr kumimoji="1" lang="en-US" altLang="ja-JP" sz="4000">
            <a:solidFill>
              <a:srgbClr val="FF0000"/>
            </a:solidFill>
          </a:endParaRPr>
        </a:p>
      </xdr:txBody>
    </xdr:sp>
    <xdr:clientData/>
  </xdr:oneCellAnchor>
  <xdr:twoCellAnchor editAs="oneCell">
    <xdr:from>
      <xdr:col>8</xdr:col>
      <xdr:colOff>266698</xdr:colOff>
      <xdr:row>2</xdr:row>
      <xdr:rowOff>726280</xdr:rowOff>
    </xdr:from>
    <xdr:to>
      <xdr:col>9</xdr:col>
      <xdr:colOff>1028699</xdr:colOff>
      <xdr:row>7</xdr:row>
      <xdr:rowOff>715675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672511" y="1285874"/>
          <a:ext cx="1935957" cy="1775332"/>
        </a:xfrm>
        <a:prstGeom prst="rect">
          <a:avLst/>
        </a:prstGeom>
      </xdr:spPr>
    </xdr:pic>
    <xdr:clientData/>
  </xdr:twoCellAnchor>
  <xdr:twoCellAnchor editAs="oneCell">
    <xdr:from>
      <xdr:col>8</xdr:col>
      <xdr:colOff>266699</xdr:colOff>
      <xdr:row>9</xdr:row>
      <xdr:rowOff>273844</xdr:rowOff>
    </xdr:from>
    <xdr:to>
      <xdr:col>9</xdr:col>
      <xdr:colOff>1038473</xdr:colOff>
      <xdr:row>12</xdr:row>
      <xdr:rowOff>40481</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8672512" y="3095625"/>
          <a:ext cx="1945730" cy="16430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295275</xdr:colOff>
      <xdr:row>11</xdr:row>
      <xdr:rowOff>762000</xdr:rowOff>
    </xdr:from>
    <xdr:to>
      <xdr:col>9</xdr:col>
      <xdr:colOff>1043524</xdr:colOff>
      <xdr:row>16</xdr:row>
      <xdr:rowOff>4085</xdr:rowOff>
    </xdr:to>
    <xdr:sp macro="" textlink="">
      <xdr:nvSpPr>
        <xdr:cNvPr id="7" name="テキスト ボックス 6" descr="住所&#10;郵便番号、都道府県、市&#10;&#10;電話&#10;FAX&#10;電子メール&#10;Web" title="アドレス帳">
          <a:extLst>
            <a:ext uri="{FF2B5EF4-FFF2-40B4-BE49-F238E27FC236}">
              <a16:creationId xmlns:a16="http://schemas.microsoft.com/office/drawing/2014/main" id="{00000000-0008-0000-0A00-000007000000}"/>
            </a:ext>
          </a:extLst>
        </xdr:cNvPr>
        <xdr:cNvSpPr txBox="1"/>
      </xdr:nvSpPr>
      <xdr:spPr>
        <a:xfrm>
          <a:off x="8829675" y="5667375"/>
          <a:ext cx="1929349"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nchorCtr="0"/>
        <a:lstStyle/>
        <a:p>
          <a:pPr eaLnBrk="1" fontAlgn="auto" latinLnBrk="0" hangingPunct="1"/>
          <a:r>
            <a:rPr lang="ja-JP" altLang="ja-JP" sz="1100" b="0" i="0" baseline="0">
              <a:solidFill>
                <a:schemeClr val="dk1"/>
              </a:solidFill>
              <a:effectLst/>
              <a:latin typeface="+mn-lt"/>
              <a:ea typeface="+mn-ea"/>
              <a:cs typeface="+mn-cs"/>
            </a:rPr>
            <a:t>ベイサイド本牧スポーツアカデミー</a:t>
          </a:r>
          <a:endParaRPr lang="ja-JP" altLang="ja-JP" sz="1000">
            <a:effectLst/>
          </a:endParaRPr>
        </a:p>
        <a:p>
          <a:pPr eaLnBrk="1" fontAlgn="auto" latinLnBrk="0" hangingPunct="1"/>
          <a:br>
            <a:rPr lang="en-US" altLang="ja-JP" sz="1100" b="0" i="0" baseline="0">
              <a:solidFill>
                <a:schemeClr val="dk1"/>
              </a:solidFill>
              <a:effectLst/>
              <a:latin typeface="+mn-lt"/>
              <a:ea typeface="+mn-ea"/>
              <a:cs typeface="+mn-cs"/>
            </a:rPr>
          </a:br>
          <a:r>
            <a:rPr lang="ja-JP" altLang="ja-JP" sz="1100" b="0" i="0" baseline="0">
              <a:solidFill>
                <a:schemeClr val="dk1"/>
              </a:solidFill>
              <a:effectLst/>
              <a:latin typeface="+mn-lt"/>
              <a:ea typeface="+mn-ea"/>
              <a:cs typeface="+mn-cs"/>
            </a:rPr>
            <a:t>各クラスが最小遂行人数以下の場合、前クラスの活動を継続する場合もあります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9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77391</xdr:colOff>
      <xdr:row>5</xdr:row>
      <xdr:rowOff>152401</xdr:rowOff>
    </xdr:from>
    <xdr:ext cx="4644287" cy="2787252"/>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349534" y="2030187"/>
          <a:ext cx="4644287" cy="2787252"/>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chemeClr val="tx1"/>
              </a:solidFill>
            </a:rPr>
            <a:t>９月２３日　テニスの日</a:t>
          </a:r>
          <a:endParaRPr kumimoji="1" lang="en-US" altLang="ja-JP" sz="2000" b="1">
            <a:solidFill>
              <a:schemeClr val="tx1"/>
            </a:solidFill>
          </a:endParaRPr>
        </a:p>
        <a:p>
          <a:r>
            <a:rPr kumimoji="1" lang="ja-JP" altLang="en-US" sz="2000" b="1">
              <a:solidFill>
                <a:schemeClr val="tx1"/>
              </a:solidFill>
            </a:rPr>
            <a:t>地域の皆様</a:t>
          </a:r>
          <a:endParaRPr kumimoji="1" lang="en-US" altLang="ja-JP" sz="2000" b="1">
            <a:solidFill>
              <a:schemeClr val="tx1"/>
            </a:solidFill>
          </a:endParaRPr>
        </a:p>
        <a:p>
          <a:r>
            <a:rPr kumimoji="1" lang="ja-JP" altLang="en-US" sz="2000" b="1">
              <a:solidFill>
                <a:schemeClr val="tx1"/>
              </a:solidFill>
            </a:rPr>
            <a:t>地域活性化イベント企画募集中</a:t>
          </a:r>
          <a:endParaRPr kumimoji="1" lang="en-US" altLang="ja-JP" sz="2000" b="1">
            <a:solidFill>
              <a:schemeClr val="tx1"/>
            </a:solidFill>
          </a:endParaRPr>
        </a:p>
        <a:p>
          <a:r>
            <a:rPr kumimoji="1" lang="ja-JP" altLang="en-US" sz="2000" b="1">
              <a:solidFill>
                <a:schemeClr val="tx1"/>
              </a:solidFill>
            </a:rPr>
            <a:t>あなたのアイデアを実現させよう！</a:t>
          </a:r>
          <a:endParaRPr kumimoji="1" lang="en-US" altLang="ja-JP" sz="2000" b="1">
            <a:solidFill>
              <a:schemeClr val="tx1"/>
            </a:solidFill>
          </a:endParaRPr>
        </a:p>
        <a:p>
          <a:endParaRPr kumimoji="1" lang="en-US" altLang="ja-JP" sz="2000" b="1">
            <a:solidFill>
              <a:schemeClr val="tx1"/>
            </a:solidFill>
          </a:endParaRPr>
        </a:p>
        <a:p>
          <a:r>
            <a:rPr kumimoji="1" lang="en-US" altLang="ja-JP" sz="2000" b="1">
              <a:solidFill>
                <a:schemeClr val="tx1"/>
              </a:solidFill>
            </a:rPr>
            <a:t>11</a:t>
          </a:r>
          <a:r>
            <a:rPr kumimoji="1" lang="ja-JP" altLang="en-US" sz="2000" b="1">
              <a:solidFill>
                <a:schemeClr val="tx1"/>
              </a:solidFill>
            </a:rPr>
            <a:t>月大会予定</a:t>
          </a:r>
          <a:br>
            <a:rPr kumimoji="1" lang="en-US" altLang="ja-JP" sz="2000" b="1">
              <a:solidFill>
                <a:schemeClr val="tx1"/>
              </a:solidFill>
            </a:rPr>
          </a:br>
          <a:r>
            <a:rPr kumimoji="1" lang="en-US" altLang="ja-JP" sz="2000" b="1">
              <a:solidFill>
                <a:schemeClr val="tx1"/>
              </a:solidFill>
            </a:rPr>
            <a:t>YTI</a:t>
          </a:r>
          <a:r>
            <a:rPr kumimoji="1" lang="ja-JP" altLang="en-US" sz="2000" b="1">
              <a:solidFill>
                <a:schemeClr val="tx1"/>
              </a:solidFill>
            </a:rPr>
            <a:t>と調整中</a:t>
          </a:r>
          <a:endParaRPr kumimoji="1" lang="en-US" altLang="ja-JP" sz="2000" b="1">
            <a:solidFill>
              <a:sysClr val="windowText" lastClr="000000"/>
            </a:solidFill>
          </a:endParaRPr>
        </a:p>
      </xdr:txBody>
    </xdr:sp>
    <xdr:clientData/>
  </xdr:oneCellAnchor>
  <xdr:twoCellAnchor editAs="oneCell">
    <xdr:from>
      <xdr:col>8</xdr:col>
      <xdr:colOff>318403</xdr:colOff>
      <xdr:row>5</xdr:row>
      <xdr:rowOff>866774</xdr:rowOff>
    </xdr:from>
    <xdr:to>
      <xdr:col>9</xdr:col>
      <xdr:colOff>1068170</xdr:colOff>
      <xdr:row>11</xdr:row>
      <xdr:rowOff>808286</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122224" y="2744560"/>
          <a:ext cx="1928826" cy="3248047"/>
        </a:xfrm>
        <a:prstGeom prst="rect">
          <a:avLst/>
        </a:prstGeom>
      </xdr:spPr>
    </xdr:pic>
    <xdr:clientData/>
  </xdr:twoCellAnchor>
  <xdr:twoCellAnchor editAs="oneCell">
    <xdr:from>
      <xdr:col>8</xdr:col>
      <xdr:colOff>300716</xdr:colOff>
      <xdr:row>2</xdr:row>
      <xdr:rowOff>340856</xdr:rowOff>
    </xdr:from>
    <xdr:to>
      <xdr:col>9</xdr:col>
      <xdr:colOff>1077015</xdr:colOff>
      <xdr:row>7</xdr:row>
      <xdr:rowOff>630808</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104537" y="898749"/>
          <a:ext cx="1955358" cy="2748083"/>
        </a:xfrm>
        <a:prstGeom prst="rect">
          <a:avLst/>
        </a:prstGeom>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rek">
  <a:themeElements>
    <a:clrScheme name="Trek">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Custom 1">
      <a:majorFont>
        <a:latin typeface="Georgia"/>
        <a:ea typeface=""/>
        <a:cs typeface=""/>
      </a:majorFont>
      <a:minorFont>
        <a:latin typeface="Cambria"/>
        <a:ea typeface=""/>
        <a:cs typeface=""/>
      </a:minorFont>
    </a:fontScheme>
    <a:fmtScheme name="Trek">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104D-82DB-47B5-9875-D5A6546FC15E}">
  <dimension ref="A2:M40"/>
  <sheetViews>
    <sheetView showGridLines="0" topLeftCell="A22" zoomScale="94" zoomScaleNormal="115" workbookViewId="0">
      <selection activeCell="N39" sqref="N39"/>
    </sheetView>
  </sheetViews>
  <sheetFormatPr defaultRowHeight="17.649999999999999"/>
  <cols>
    <col min="1" max="1" width="2.5" style="42" customWidth="1"/>
    <col min="2" max="2" width="2.71875" style="43" bestFit="1" customWidth="1"/>
    <col min="3" max="3" width="16.0546875" style="42" customWidth="1"/>
    <col min="4" max="4" width="14.27734375" style="42" customWidth="1"/>
    <col min="5" max="5" width="11.71875" style="42" bestFit="1" customWidth="1"/>
    <col min="6" max="6" width="8.71875" style="42" bestFit="1" customWidth="1"/>
    <col min="7" max="7" width="14.21875" style="42" bestFit="1" customWidth="1"/>
    <col min="8" max="9" width="9.71875" style="42" customWidth="1"/>
    <col min="10" max="10" width="1.5546875" style="42" customWidth="1"/>
    <col min="11" max="13" width="8.88671875" style="42"/>
    <col min="14" max="16384" width="8.88671875" style="41"/>
  </cols>
  <sheetData>
    <row r="2" spans="1:13">
      <c r="C2" s="42" t="s">
        <v>84</v>
      </c>
    </row>
    <row r="3" spans="1:13" ht="6.75" customHeight="1" thickBot="1"/>
    <row r="4" spans="1:13" ht="18" thickTop="1">
      <c r="B4" s="52"/>
      <c r="C4" s="53"/>
      <c r="D4" s="96" t="s">
        <v>55</v>
      </c>
      <c r="E4" s="96"/>
      <c r="F4" s="96"/>
      <c r="G4" s="96" t="s">
        <v>54</v>
      </c>
      <c r="H4" s="96"/>
      <c r="I4" s="97"/>
      <c r="J4" s="49"/>
    </row>
    <row r="5" spans="1:13" ht="25.5">
      <c r="B5" s="54"/>
      <c r="C5" s="46" t="s">
        <v>53</v>
      </c>
      <c r="D5" s="45" t="s">
        <v>52</v>
      </c>
      <c r="E5" s="46" t="s">
        <v>51</v>
      </c>
      <c r="F5" s="46" t="s">
        <v>50</v>
      </c>
      <c r="G5" s="45" t="s">
        <v>52</v>
      </c>
      <c r="H5" s="46" t="s">
        <v>51</v>
      </c>
      <c r="I5" s="55" t="s">
        <v>50</v>
      </c>
      <c r="J5" s="43"/>
    </row>
    <row r="6" spans="1:13" s="47" customFormat="1">
      <c r="A6" s="43"/>
      <c r="B6" s="54">
        <v>1</v>
      </c>
      <c r="C6" s="45" t="s">
        <v>49</v>
      </c>
      <c r="D6" s="98" t="s">
        <v>70</v>
      </c>
      <c r="E6" s="100" t="s">
        <v>62</v>
      </c>
      <c r="F6" s="101"/>
      <c r="G6" s="98" t="s">
        <v>70</v>
      </c>
      <c r="H6" s="46" t="s">
        <v>48</v>
      </c>
      <c r="I6" s="55"/>
      <c r="J6" s="43"/>
      <c r="K6" s="43"/>
      <c r="L6" s="43"/>
      <c r="M6" s="43"/>
    </row>
    <row r="7" spans="1:13" s="47" customFormat="1" ht="25.5">
      <c r="A7" s="43"/>
      <c r="B7" s="54">
        <v>2</v>
      </c>
      <c r="C7" s="45" t="s">
        <v>47</v>
      </c>
      <c r="D7" s="99"/>
      <c r="E7" s="102"/>
      <c r="F7" s="103"/>
      <c r="G7" s="99"/>
      <c r="H7" s="46" t="s">
        <v>56</v>
      </c>
      <c r="I7" s="56" t="s">
        <v>63</v>
      </c>
      <c r="J7" s="48"/>
      <c r="K7" s="43"/>
      <c r="L7" s="43"/>
      <c r="M7" s="43"/>
    </row>
    <row r="8" spans="1:13" s="47" customFormat="1" ht="17.649999999999999" customHeight="1">
      <c r="A8" s="43"/>
      <c r="B8" s="54">
        <v>3</v>
      </c>
      <c r="C8" s="45" t="s">
        <v>64</v>
      </c>
      <c r="D8" s="99"/>
      <c r="E8" s="104" t="s">
        <v>69</v>
      </c>
      <c r="F8" s="105"/>
      <c r="G8" s="99"/>
      <c r="H8" s="104" t="s">
        <v>69</v>
      </c>
      <c r="I8" s="110"/>
      <c r="J8" s="43"/>
      <c r="K8" s="43"/>
      <c r="L8" s="43"/>
      <c r="M8" s="43"/>
    </row>
    <row r="9" spans="1:13" s="47" customFormat="1">
      <c r="A9" s="43"/>
      <c r="B9" s="54">
        <v>3</v>
      </c>
      <c r="C9" s="45" t="s">
        <v>65</v>
      </c>
      <c r="D9" s="99"/>
      <c r="E9" s="106"/>
      <c r="F9" s="107"/>
      <c r="G9" s="99"/>
      <c r="H9" s="106"/>
      <c r="I9" s="111"/>
      <c r="J9" s="43"/>
      <c r="K9" s="43"/>
      <c r="L9" s="43"/>
      <c r="M9" s="43"/>
    </row>
    <row r="10" spans="1:13" s="47" customFormat="1">
      <c r="A10" s="43"/>
      <c r="B10" s="54">
        <v>3</v>
      </c>
      <c r="C10" s="45" t="s">
        <v>66</v>
      </c>
      <c r="D10" s="99"/>
      <c r="E10" s="106"/>
      <c r="F10" s="107"/>
      <c r="G10" s="99"/>
      <c r="H10" s="106"/>
      <c r="I10" s="111"/>
      <c r="J10" s="43"/>
      <c r="K10" s="43"/>
      <c r="L10" s="43"/>
      <c r="M10" s="43"/>
    </row>
    <row r="11" spans="1:13" s="47" customFormat="1">
      <c r="A11" s="43"/>
      <c r="B11" s="54">
        <v>4</v>
      </c>
      <c r="C11" s="45" t="s">
        <v>67</v>
      </c>
      <c r="D11" s="99"/>
      <c r="E11" s="106"/>
      <c r="F11" s="107"/>
      <c r="G11" s="99"/>
      <c r="H11" s="106"/>
      <c r="I11" s="111"/>
      <c r="J11" s="43"/>
      <c r="K11" s="43"/>
      <c r="L11" s="43"/>
      <c r="M11" s="43"/>
    </row>
    <row r="12" spans="1:13">
      <c r="B12" s="63">
        <v>5</v>
      </c>
      <c r="C12" s="50" t="s">
        <v>68</v>
      </c>
      <c r="D12" s="51"/>
      <c r="E12" s="108"/>
      <c r="F12" s="109"/>
      <c r="G12" s="50"/>
      <c r="H12" s="108"/>
      <c r="I12" s="112"/>
    </row>
    <row r="13" spans="1:13" ht="38.65" thickBot="1">
      <c r="B13" s="57">
        <v>6</v>
      </c>
      <c r="C13" s="58" t="s">
        <v>46</v>
      </c>
      <c r="D13" s="58" t="s">
        <v>45</v>
      </c>
      <c r="E13" s="64" t="s">
        <v>57</v>
      </c>
      <c r="F13" s="65"/>
      <c r="G13" s="58" t="s">
        <v>45</v>
      </c>
      <c r="H13" s="64" t="s">
        <v>57</v>
      </c>
      <c r="I13" s="66"/>
    </row>
    <row r="14" spans="1:13" ht="4.1500000000000004" customHeight="1" thickTop="1"/>
    <row r="15" spans="1:13">
      <c r="B15" s="44" t="s">
        <v>44</v>
      </c>
    </row>
    <row r="16" spans="1:13">
      <c r="B16" s="43" t="s">
        <v>40</v>
      </c>
      <c r="C16" s="42" t="s">
        <v>43</v>
      </c>
    </row>
    <row r="17" spans="1:13">
      <c r="B17" s="43" t="s">
        <v>40</v>
      </c>
      <c r="C17" s="42" t="s">
        <v>71</v>
      </c>
    </row>
    <row r="18" spans="1:13">
      <c r="B18" s="43" t="s">
        <v>40</v>
      </c>
      <c r="C18" s="42" t="s">
        <v>42</v>
      </c>
    </row>
    <row r="19" spans="1:13">
      <c r="B19" s="43" t="s">
        <v>40</v>
      </c>
      <c r="C19" s="42" t="s">
        <v>41</v>
      </c>
    </row>
    <row r="20" spans="1:13">
      <c r="B20" s="43" t="s">
        <v>40</v>
      </c>
      <c r="C20" s="42" t="s">
        <v>75</v>
      </c>
    </row>
    <row r="21" spans="1:13">
      <c r="C21" s="42" t="s">
        <v>58</v>
      </c>
    </row>
    <row r="22" spans="1:13">
      <c r="C22" s="42" t="s">
        <v>72</v>
      </c>
    </row>
    <row r="23" spans="1:13">
      <c r="C23" s="42" t="s">
        <v>73</v>
      </c>
    </row>
    <row r="24" spans="1:13">
      <c r="C24" s="42" t="s">
        <v>74</v>
      </c>
    </row>
    <row r="27" spans="1:13">
      <c r="C27" s="42" t="s">
        <v>87</v>
      </c>
    </row>
    <row r="28" spans="1:13" ht="6.75" customHeight="1" thickBot="1"/>
    <row r="29" spans="1:13" ht="18" thickTop="1">
      <c r="B29" s="52"/>
      <c r="C29" s="53"/>
      <c r="D29" s="96" t="s">
        <v>55</v>
      </c>
      <c r="E29" s="96"/>
      <c r="F29" s="96"/>
      <c r="G29" s="96"/>
      <c r="H29" s="96"/>
      <c r="I29" s="97"/>
      <c r="J29" s="49"/>
    </row>
    <row r="30" spans="1:13" ht="25.5">
      <c r="B30" s="54"/>
      <c r="C30" s="46" t="s">
        <v>53</v>
      </c>
      <c r="D30" s="45" t="s">
        <v>52</v>
      </c>
      <c r="E30" s="46" t="s">
        <v>51</v>
      </c>
      <c r="F30" s="46" t="s">
        <v>50</v>
      </c>
      <c r="G30" s="45"/>
      <c r="H30" s="46"/>
      <c r="I30" s="55"/>
      <c r="J30" s="43"/>
    </row>
    <row r="31" spans="1:13" s="47" customFormat="1">
      <c r="A31" s="43"/>
      <c r="B31" s="54">
        <v>1</v>
      </c>
      <c r="C31" s="45" t="s">
        <v>49</v>
      </c>
      <c r="D31" s="98" t="s">
        <v>70</v>
      </c>
      <c r="E31" s="100" t="s">
        <v>62</v>
      </c>
      <c r="F31" s="101"/>
      <c r="G31" s="76"/>
      <c r="H31" s="46"/>
      <c r="I31" s="55"/>
      <c r="J31" s="43"/>
      <c r="K31" s="43"/>
      <c r="L31" s="43"/>
      <c r="M31" s="43"/>
    </row>
    <row r="32" spans="1:13" s="47" customFormat="1">
      <c r="A32" s="43"/>
      <c r="B32" s="54">
        <v>2</v>
      </c>
      <c r="C32" s="45" t="s">
        <v>47</v>
      </c>
      <c r="D32" s="99"/>
      <c r="E32" s="102"/>
      <c r="F32" s="103"/>
      <c r="G32" s="77"/>
      <c r="H32" s="46"/>
      <c r="I32" s="56"/>
      <c r="J32" s="48"/>
      <c r="K32" s="43"/>
      <c r="L32" s="43"/>
      <c r="M32" s="43"/>
    </row>
    <row r="33" spans="1:13" s="47" customFormat="1" ht="17.649999999999999" customHeight="1">
      <c r="A33" s="43"/>
      <c r="B33" s="54">
        <v>3</v>
      </c>
      <c r="C33" s="45" t="s">
        <v>64</v>
      </c>
      <c r="D33" s="99"/>
      <c r="E33" s="74"/>
      <c r="F33" s="75"/>
      <c r="G33" s="77"/>
      <c r="H33" s="78"/>
      <c r="I33" s="79"/>
      <c r="J33" s="43"/>
      <c r="K33" s="43"/>
      <c r="L33" s="43"/>
      <c r="M33" s="43"/>
    </row>
    <row r="34" spans="1:13" s="47" customFormat="1" ht="38.25" customHeight="1">
      <c r="A34" s="43"/>
      <c r="B34" s="54">
        <v>4</v>
      </c>
      <c r="C34" s="45" t="s">
        <v>65</v>
      </c>
      <c r="D34" s="99"/>
      <c r="E34" s="113" t="s">
        <v>88</v>
      </c>
      <c r="F34" s="114"/>
      <c r="G34" s="119" t="s">
        <v>89</v>
      </c>
      <c r="H34" s="120"/>
      <c r="I34" s="121"/>
      <c r="J34" s="43"/>
      <c r="K34" s="43"/>
      <c r="L34" s="43"/>
      <c r="M34" s="43"/>
    </row>
    <row r="35" spans="1:13" s="47" customFormat="1">
      <c r="A35" s="43"/>
      <c r="B35" s="54">
        <v>5</v>
      </c>
      <c r="C35" s="45" t="s">
        <v>66</v>
      </c>
      <c r="D35" s="99"/>
      <c r="E35" s="115"/>
      <c r="F35" s="116"/>
      <c r="G35" s="122"/>
      <c r="H35" s="123"/>
      <c r="I35" s="124"/>
      <c r="J35" s="43"/>
      <c r="K35" s="43"/>
      <c r="L35" s="43"/>
      <c r="M35" s="43"/>
    </row>
    <row r="36" spans="1:13" s="47" customFormat="1">
      <c r="A36" s="43"/>
      <c r="B36" s="54">
        <v>6</v>
      </c>
      <c r="C36" s="45" t="s">
        <v>67</v>
      </c>
      <c r="D36" s="99"/>
      <c r="E36" s="115"/>
      <c r="F36" s="116"/>
      <c r="G36" s="122"/>
      <c r="H36" s="123"/>
      <c r="I36" s="124"/>
      <c r="J36" s="43"/>
      <c r="K36" s="43"/>
      <c r="L36" s="43"/>
      <c r="M36" s="43"/>
    </row>
    <row r="37" spans="1:13" s="47" customFormat="1">
      <c r="A37" s="43"/>
      <c r="B37" s="54">
        <v>7</v>
      </c>
      <c r="C37" s="50" t="s">
        <v>68</v>
      </c>
      <c r="D37" s="71"/>
      <c r="E37" s="115"/>
      <c r="F37" s="116"/>
      <c r="G37" s="122"/>
      <c r="H37" s="123"/>
      <c r="I37" s="124"/>
      <c r="J37" s="43"/>
      <c r="K37" s="43"/>
      <c r="L37" s="43"/>
      <c r="M37" s="43"/>
    </row>
    <row r="38" spans="1:13">
      <c r="B38" s="54">
        <v>8</v>
      </c>
      <c r="C38" s="50" t="s">
        <v>86</v>
      </c>
      <c r="D38" s="51"/>
      <c r="E38" s="117"/>
      <c r="F38" s="118"/>
      <c r="G38" s="125"/>
      <c r="H38" s="126"/>
      <c r="I38" s="127"/>
    </row>
    <row r="39" spans="1:13" ht="38.65" thickBot="1">
      <c r="B39" s="54">
        <v>9</v>
      </c>
      <c r="C39" s="58" t="s">
        <v>85</v>
      </c>
      <c r="D39" s="58" t="s">
        <v>45</v>
      </c>
      <c r="E39" s="64" t="s">
        <v>57</v>
      </c>
      <c r="F39" s="65"/>
      <c r="G39" s="58"/>
      <c r="H39" s="64"/>
      <c r="I39" s="66"/>
    </row>
    <row r="40" spans="1:13" ht="4.1500000000000004" customHeight="1" thickTop="1"/>
  </sheetData>
  <mergeCells count="13">
    <mergeCell ref="D29:F29"/>
    <mergeCell ref="G29:I29"/>
    <mergeCell ref="D31:D36"/>
    <mergeCell ref="E31:F32"/>
    <mergeCell ref="E34:F38"/>
    <mergeCell ref="G34:I38"/>
    <mergeCell ref="G4:I4"/>
    <mergeCell ref="D4:F4"/>
    <mergeCell ref="G6:G11"/>
    <mergeCell ref="D6:D11"/>
    <mergeCell ref="E6:F7"/>
    <mergeCell ref="E8:F12"/>
    <mergeCell ref="H8:I12"/>
  </mergeCells>
  <phoneticPr fontId="6"/>
  <pageMargins left="0.70866141732283472" right="0.70866141732283472" top="0.39370078740157483" bottom="0"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249977111117893"/>
    <pageSetUpPr fitToPage="1"/>
  </sheetPr>
  <dimension ref="A1:R20"/>
  <sheetViews>
    <sheetView showGridLines="0" zoomScale="80" zoomScaleNormal="80" workbookViewId="0">
      <selection activeCell="Q16" sqref="Q16"/>
    </sheetView>
  </sheetViews>
  <sheetFormatPr defaultColWidth="6.6640625" defaultRowHeight="15"/>
  <cols>
    <col min="1" max="1" width="3.0546875" style="1" customWidth="1"/>
    <col min="2" max="6" width="11.6640625" style="1" customWidth="1"/>
    <col min="7" max="8" width="18.27734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31</v>
      </c>
      <c r="D2" s="24"/>
      <c r="E2" s="4"/>
      <c r="F2" s="4"/>
      <c r="G2" s="4"/>
      <c r="H2" s="4"/>
      <c r="I2" s="4"/>
      <c r="J2" s="4"/>
    </row>
    <row r="3" spans="1:18" ht="62.25" customHeight="1">
      <c r="A3" s="3"/>
      <c r="B3" s="138" t="str">
        <f>UPPER(TEXT(DATE(カレンダーの年,8,1),"yyyy年m月"))</f>
        <v>2024年8月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IF(DAY(AugSun1)=1,"",IF(AND(YEAR(AugSun1+1)=カレンダーの年,MONTH(AugSun1+1)=8),AugSun1+1,""))</f>
        <v/>
      </c>
      <c r="C5" s="10" t="str">
        <f>IF(DAY(AugSun1)=1,"",IF(AND(YEAR(AugSun1+2)=カレンダーの年,MONTH(AugSun1+2)=8),AugSun1+2,""))</f>
        <v/>
      </c>
      <c r="D5" s="10" t="str">
        <f>IF(DAY(AugSun1)=1,"",IF(AND(YEAR(AugSun1+3)=カレンダーの年,MONTH(AugSun1+3)=8),AugSun1+3,""))</f>
        <v/>
      </c>
      <c r="E5" s="10">
        <f>IF(DAY(AugSun1)=1,"",IF(AND(YEAR(AugSun1+4)=カレンダーの年,MONTH(AugSun1+4)=8),AugSun1+4,""))</f>
        <v>45505</v>
      </c>
      <c r="F5" s="10">
        <f>IF(DAY(AugSun1)=1,"",IF(AND(YEAR(AugSun1+5)=カレンダーの年,MONTH(AugSun1+5)=8),AugSun1+5,""))</f>
        <v>45506</v>
      </c>
      <c r="G5" s="10">
        <f>IF(DAY(AugSun1)=1,"",IF(AND(YEAR(AugSun1+6)=カレンダーの年,MONTH(AugSun1+6)=8),AugSun1+6,""))</f>
        <v>45507</v>
      </c>
      <c r="H5" s="10">
        <f>IF(DAY(AugSun1)=1,IF(AND(YEAR(AugSun1)=カレンダーの年,MONTH(AugSun1)=8),AugSun1,""),IF(AND(YEAR(AugSun1+7)=カレンダーの年,MONTH(AugSun1+7)=8),AugSun1+7,""))</f>
        <v>45508</v>
      </c>
      <c r="I5" s="11"/>
      <c r="K5" s="1"/>
      <c r="L5" s="1"/>
      <c r="M5" s="1"/>
      <c r="Q5" s="12"/>
      <c r="R5" s="1"/>
    </row>
    <row r="6" spans="1:18" s="12" customFormat="1" ht="22.15">
      <c r="A6" s="3"/>
      <c r="B6" s="13"/>
      <c r="C6" s="13"/>
      <c r="D6" s="13"/>
      <c r="E6" s="13"/>
      <c r="F6" s="13"/>
      <c r="G6" s="36"/>
      <c r="H6" s="69" t="s">
        <v>78</v>
      </c>
      <c r="I6" s="11"/>
    </row>
    <row r="7" spans="1:18" ht="15" customHeight="1">
      <c r="A7" s="3"/>
      <c r="B7" s="15">
        <f>IF(DAY(AugSun1)=1,IF(AND(YEAR(AugSun1+1)=カレンダーの年,MONTH(AugSun1+1)=8),AugSun1+1,""),IF(AND(YEAR(AugSun1+8)=カレンダーの年,MONTH(AugSun1+8)=8),AugSun1+8,""))</f>
        <v>45509</v>
      </c>
      <c r="C7" s="15">
        <f>IF(DAY(AugSun1)=1,IF(AND(YEAR(AugSun1+2)=カレンダーの年,MONTH(AugSun1+2)=8),AugSun1+2,""),IF(AND(YEAR(AugSun1+9)=カレンダーの年,MONTH(AugSun1+9)=8),AugSun1+9,""))</f>
        <v>45510</v>
      </c>
      <c r="D7" s="15">
        <f>IF(DAY(AugSun1)=1,IF(AND(YEAR(AugSun1+3)=カレンダーの年,MONTH(AugSun1+3)=8),AugSun1+3,""),IF(AND(YEAR(AugSun1+10)=カレンダーの年,MONTH(AugSun1+10)=8),AugSun1+10,""))</f>
        <v>45511</v>
      </c>
      <c r="E7" s="15">
        <f>IF(DAY(AugSun1)=1,IF(AND(YEAR(AugSun1+4)=カレンダーの年,MONTH(AugSun1+4)=8),AugSun1+4,""),IF(AND(YEAR(AugSun1+11)=カレンダーの年,MONTH(AugSun1+11)=8),AugSun1+11,""))</f>
        <v>45512</v>
      </c>
      <c r="F7" s="15">
        <f>IF(DAY(AugSun1)=1,IF(AND(YEAR(AugSun1+5)=カレンダーの年,MONTH(AugSun1+5)=8),AugSun1+5,""),IF(AND(YEAR(AugSun1+12)=カレンダーの年,MONTH(AugSun1+12)=8),AugSun1+12,""))</f>
        <v>45513</v>
      </c>
      <c r="G7" s="15">
        <f>IF(DAY(AugSun1)=1,IF(AND(YEAR(AugSun1+6)=カレンダーの年,MONTH(AugSun1+6)=8),AugSun1+6,""),IF(AND(YEAR(AugSun1+13)=カレンダーの年,MONTH(AugSun1+13)=8),AugSun1+13,""))</f>
        <v>45514</v>
      </c>
      <c r="H7" s="15">
        <f>IF(DAY(AugSun1)=1,IF(AND(YEAR(AugSun1+7)=カレンダーの年,MONTH(AugSun1+7)=8),AugSun1+7,""),IF(AND(YEAR(AugSun1+14)=カレンダーの年,MONTH(AugSun1+14)=8),AugSun1+14,""))</f>
        <v>45515</v>
      </c>
      <c r="I7" s="11"/>
    </row>
    <row r="8" spans="1:18" ht="64.900000000000006" customHeight="1">
      <c r="A8" s="3"/>
      <c r="B8" s="16"/>
      <c r="C8" s="16"/>
      <c r="D8" s="16"/>
      <c r="E8" s="16"/>
      <c r="F8" s="16"/>
      <c r="G8" s="68" t="s">
        <v>122</v>
      </c>
      <c r="H8" s="68" t="s">
        <v>78</v>
      </c>
      <c r="I8" s="11"/>
    </row>
    <row r="9" spans="1:18" ht="15" customHeight="1">
      <c r="A9" s="3"/>
      <c r="B9" s="18">
        <f>IF(DAY(AugSun1)=1,IF(AND(YEAR(AugSun1+8)=カレンダーの年,MONTH(AugSun1+8)=8),AugSun1+8,""),IF(AND(YEAR(AugSun1+15)=カレンダーの年,MONTH(AugSun1+15)=8),AugSun1+15,""))</f>
        <v>45516</v>
      </c>
      <c r="C9" s="18">
        <f>IF(DAY(AugSun1)=1,IF(AND(YEAR(AugSun1+9)=カレンダーの年,MONTH(AugSun1+9)=8),AugSun1+9,""),IF(AND(YEAR(AugSun1+16)=カレンダーの年,MONTH(AugSun1+16)=8),AugSun1+16,""))</f>
        <v>45517</v>
      </c>
      <c r="D9" s="18">
        <f>IF(DAY(AugSun1)=1,IF(AND(YEAR(AugSun1+10)=カレンダーの年,MONTH(AugSun1+10)=8),AugSun1+10,""),IF(AND(YEAR(AugSun1+17)=カレンダーの年,MONTH(AugSun1+17)=8),AugSun1+17,""))</f>
        <v>45518</v>
      </c>
      <c r="E9" s="18">
        <f>IF(DAY(AugSun1)=1,IF(AND(YEAR(AugSun1+11)=カレンダーの年,MONTH(AugSun1+11)=8),AugSun1+11,""),IF(AND(YEAR(AugSun1+18)=カレンダーの年,MONTH(AugSun1+18)=8),AugSun1+18,""))</f>
        <v>45519</v>
      </c>
      <c r="F9" s="18">
        <f>IF(DAY(AugSun1)=1,IF(AND(YEAR(AugSun1+12)=カレンダーの年,MONTH(AugSun1+12)=8),AugSun1+12,""),IF(AND(YEAR(AugSun1+19)=カレンダーの年,MONTH(AugSun1+19)=8),AugSun1+19,""))</f>
        <v>45520</v>
      </c>
      <c r="G9" s="18">
        <f>IF(DAY(AugSun1)=1,IF(AND(YEAR(AugSun1+13)=カレンダーの年,MONTH(AugSun1+13)=8),AugSun1+13,""),IF(AND(YEAR(AugSun1+20)=カレンダーの年,MONTH(AugSun1+20)=8),AugSun1+20,""))</f>
        <v>45521</v>
      </c>
      <c r="H9" s="18">
        <f>IF(DAY(AugSun1)=1,IF(AND(YEAR(AugSun1+14)=カレンダーの年,MONTH(AugSun1+14)=8),AugSun1+14,""),IF(AND(YEAR(AugSun1+21)=カレンダーの年,MONTH(AugSun1+21)=8),AugSun1+21,""))</f>
        <v>45522</v>
      </c>
      <c r="I9" s="11"/>
    </row>
    <row r="10" spans="1:18" ht="66.400000000000006">
      <c r="A10" s="3"/>
      <c r="B10" s="13"/>
      <c r="C10" s="13"/>
      <c r="D10" s="13"/>
      <c r="E10" s="13"/>
      <c r="F10" s="13"/>
      <c r="G10" s="69" t="s">
        <v>122</v>
      </c>
      <c r="H10" s="69" t="s">
        <v>121</v>
      </c>
      <c r="I10" s="11"/>
      <c r="L10"/>
    </row>
    <row r="11" spans="1:18" ht="15" customHeight="1">
      <c r="A11" s="3"/>
      <c r="B11" s="19">
        <f>IF(DAY(AugSun1)=1,IF(AND(YEAR(AugSun1+15)=カレンダーの年,MONTH(AugSun1+15)=8),AugSun1+15,""),IF(AND(YEAR(AugSun1+22)=カレンダーの年,MONTH(AugSun1+22)=8),AugSun1+22,""))</f>
        <v>45523</v>
      </c>
      <c r="C11" s="19">
        <f>IF(DAY(AugSun1)=1,IF(AND(YEAR(AugSun1+16)=カレンダーの年,MONTH(AugSun1+16)=8),AugSun1+16,""),IF(AND(YEAR(AugSun1+23)=カレンダーの年,MONTH(AugSun1+23)=8),AugSun1+23,""))</f>
        <v>45524</v>
      </c>
      <c r="D11" s="19">
        <f>IF(DAY(AugSun1)=1,IF(AND(YEAR(AugSun1+17)=カレンダーの年,MONTH(AugSun1+17)=8),AugSun1+17,""),IF(AND(YEAR(AugSun1+24)=カレンダーの年,MONTH(AugSun1+24)=8),AugSun1+24,""))</f>
        <v>45525</v>
      </c>
      <c r="E11" s="19">
        <f>IF(DAY(AugSun1)=1,IF(AND(YEAR(AugSun1+18)=カレンダーの年,MONTH(AugSun1+18)=8),AugSun1+18,""),IF(AND(YEAR(AugSun1+25)=カレンダーの年,MONTH(AugSun1+25)=8),AugSun1+25,""))</f>
        <v>45526</v>
      </c>
      <c r="F11" s="19">
        <f>IF(DAY(AugSun1)=1,IF(AND(YEAR(AugSun1+19)=カレンダーの年,MONTH(AugSun1+19)=8),AugSun1+19,""),IF(AND(YEAR(AugSun1+26)=カレンダーの年,MONTH(AugSun1+26)=8),AugSun1+26,""))</f>
        <v>45527</v>
      </c>
      <c r="G11" s="19">
        <f>IF(DAY(AugSun1)=1,IF(AND(YEAR(AugSun1+20)=カレンダーの年,MONTH(AugSun1+20)=8),AugSun1+20,""),IF(AND(YEAR(AugSun1+27)=カレンダーの年,MONTH(AugSun1+27)=8),AugSun1+27,""))</f>
        <v>45528</v>
      </c>
      <c r="H11" s="19">
        <f>IF(DAY(AugSun1)=1,IF(AND(YEAR(AugSun1+21)=カレンダーの年,MONTH(AugSun1+21)=8),AugSun1+21,""),IF(AND(YEAR(AugSun1+28)=カレンダーの年,MONTH(AugSun1+28)=8),AugSun1+28,""))</f>
        <v>45529</v>
      </c>
      <c r="I11" s="11"/>
    </row>
    <row r="12" spans="1:18" ht="66.400000000000006">
      <c r="A12" s="3"/>
      <c r="B12" s="16"/>
      <c r="C12" s="16"/>
      <c r="D12" s="16"/>
      <c r="E12" s="16"/>
      <c r="F12" s="16"/>
      <c r="G12" s="68" t="s">
        <v>122</v>
      </c>
      <c r="H12" s="68" t="s">
        <v>123</v>
      </c>
      <c r="I12" s="11"/>
    </row>
    <row r="13" spans="1:18" ht="15" customHeight="1">
      <c r="A13" s="3"/>
      <c r="B13" s="18">
        <f>IF(DAY(AugSun1)=1,IF(AND(YEAR(AugSun1+22)=カレンダーの年,MONTH(AugSun1+22)=8),AugSun1+22,""),IF(AND(YEAR(AugSun1+29)=カレンダーの年,MONTH(AugSun1+29)=8),AugSun1+29,""))</f>
        <v>45530</v>
      </c>
      <c r="C13" s="18">
        <f>IF(DAY(AugSun1)=1,IF(AND(YEAR(AugSun1+23)=カレンダーの年,MONTH(AugSun1+23)=8),AugSun1+23,""),IF(AND(YEAR(AugSun1+30)=カレンダーの年,MONTH(AugSun1+30)=8),AugSun1+30,""))</f>
        <v>45531</v>
      </c>
      <c r="D13" s="18">
        <f>IF(DAY(AugSun1)=1,IF(AND(YEAR(AugSun1+24)=カレンダーの年,MONTH(AugSun1+24)=8),AugSun1+24,""),IF(AND(YEAR(AugSun1+31)=カレンダーの年,MONTH(AugSun1+31)=8),AugSun1+31,""))</f>
        <v>45532</v>
      </c>
      <c r="E13" s="18">
        <f>IF(DAY(AugSun1)=1,IF(AND(YEAR(AugSun1+25)=カレンダーの年,MONTH(AugSun1+25)=8),AugSun1+25,""),IF(AND(YEAR(AugSun1+32)=カレンダーの年,MONTH(AugSun1+32)=8),AugSun1+32,""))</f>
        <v>45533</v>
      </c>
      <c r="F13" s="18">
        <f>IF(DAY(AugSun1)=1,IF(AND(YEAR(AugSun1+26)=カレンダーの年,MONTH(AugSun1+26)=8),AugSun1+26,""),IF(AND(YEAR(AugSun1+33)=カレンダーの年,MONTH(AugSun1+33)=8),AugSun1+33,""))</f>
        <v>45534</v>
      </c>
      <c r="G13" s="18">
        <f>IF(DAY(AugSun1)=1,IF(AND(YEAR(AugSun1+27)=カレンダーの年,MONTH(AugSun1+27)=8),AugSun1+27,""),IF(AND(YEAR(AugSun1+34)=カレンダーの年,MONTH(AugSun1+34)=8),AugSun1+34,""))</f>
        <v>45535</v>
      </c>
      <c r="H13" s="18" t="str">
        <f>IF(DAY(AugSun1)=1,IF(AND(YEAR(AugSun1+28)=カレンダーの年,MONTH(AugSun1+28)=8),AugSun1+28,""),IF(AND(YEAR(AugSun1+35)=カレンダーの年,MONTH(AugSun1+35)=8),AugSun1+35,""))</f>
        <v/>
      </c>
      <c r="I13" s="11"/>
    </row>
    <row r="14" spans="1:18" ht="64.5" customHeight="1">
      <c r="A14" s="3"/>
      <c r="B14" s="13"/>
      <c r="C14" s="13"/>
      <c r="D14" s="13"/>
      <c r="E14" s="13"/>
      <c r="F14" s="13"/>
      <c r="G14" s="69" t="s">
        <v>122</v>
      </c>
      <c r="H14" s="14"/>
      <c r="I14" s="11"/>
    </row>
    <row r="15" spans="1:18" ht="15" customHeight="1">
      <c r="A15" s="3"/>
      <c r="B15" s="19" t="str">
        <f>IF(DAY(AugSun1)=1,IF(AND(YEAR(AugSun1+29)=カレンダーの年,MONTH(AugSun1+29)=8),AugSun1+29,""),IF(AND(YEAR(AugSun1+36)=カレンダーの年,MONTH(AugSun1+36)=8),AugSun1+36,""))</f>
        <v/>
      </c>
      <c r="C15" s="20" t="str">
        <f>IF(DAY(AugSun1)=1,IF(AND(YEAR(AugSun1+30)=カレンダーの年,MONTH(AugSun1+30)=8),AugSun1+30,""),IF(AND(YEAR(AugSun1+37)=カレンダーの年,MONTH(AugSun1+37)=8),AugSun1+37,""))</f>
        <v/>
      </c>
      <c r="D15" s="135" t="s">
        <v>8</v>
      </c>
      <c r="E15" s="136"/>
      <c r="F15" s="136"/>
      <c r="G15" s="136"/>
      <c r="H15" s="137"/>
      <c r="I15" s="11"/>
    </row>
    <row r="16" spans="1:18" ht="64.5" customHeight="1">
      <c r="A16" s="3"/>
      <c r="B16" s="16"/>
      <c r="C16" s="16"/>
      <c r="D16" s="132" t="s">
        <v>32</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fitToPage="1"/>
  </sheetPr>
  <dimension ref="A1:R20"/>
  <sheetViews>
    <sheetView showGridLines="0" zoomScale="70" zoomScaleNormal="70" workbookViewId="0">
      <selection activeCell="H8" sqref="H8"/>
    </sheetView>
  </sheetViews>
  <sheetFormatPr defaultColWidth="6.6640625" defaultRowHeight="15"/>
  <cols>
    <col min="1" max="1" width="3.0546875" style="1" customWidth="1"/>
    <col min="2" max="2" width="14.5" style="1" bestFit="1" customWidth="1"/>
    <col min="3" max="6" width="11.6640625" style="1" customWidth="1"/>
    <col min="7" max="7" width="21.1640625" style="1" bestFit="1" customWidth="1"/>
    <col min="8" max="8" width="19.3867187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35</v>
      </c>
      <c r="D2" s="4"/>
      <c r="E2" s="4"/>
      <c r="F2" s="4"/>
      <c r="G2" s="4"/>
      <c r="H2" s="4"/>
      <c r="I2" s="4"/>
      <c r="J2" s="4"/>
    </row>
    <row r="3" spans="1:18" ht="62.25" customHeight="1">
      <c r="A3" s="3"/>
      <c r="B3" s="138" t="str">
        <f>UPPER(TEXT(DATE(カレンダーの年,9,1),"yyyy年m月"))</f>
        <v>2024年9月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IF(DAY(SepSun1)=1,"",IF(AND(YEAR(SepSun1+1)=カレンダーの年,MONTH(SepSun1+1)=9),SepSun1+1,""))</f>
        <v/>
      </c>
      <c r="C5" s="10" t="str">
        <f>IF(DAY(SepSun1)=1,"",IF(AND(YEAR(SepSun1+2)=カレンダーの年,MONTH(SepSun1+2)=9),SepSun1+2,""))</f>
        <v/>
      </c>
      <c r="D5" s="10" t="str">
        <f>IF(DAY(SepSun1)=1,"",IF(AND(YEAR(SepSun1+3)=カレンダーの年,MONTH(SepSun1+3)=9),SepSun1+3,""))</f>
        <v/>
      </c>
      <c r="E5" s="10" t="str">
        <f>IF(DAY(SepSun1)=1,"",IF(AND(YEAR(SepSun1+4)=カレンダーの年,MONTH(SepSun1+4)=9),SepSun1+4,""))</f>
        <v/>
      </c>
      <c r="F5" s="10" t="str">
        <f>IF(DAY(SepSun1)=1,"",IF(AND(YEAR(SepSun1+5)=カレンダーの年,MONTH(SepSun1+5)=9),SepSun1+5,""))</f>
        <v/>
      </c>
      <c r="G5" s="10" t="str">
        <f>IF(DAY(SepSun1)=1,"",IF(AND(YEAR(SepSun1+6)=カレンダーの年,MONTH(SepSun1+6)=9),SepSun1+6,""))</f>
        <v/>
      </c>
      <c r="H5" s="10">
        <f>IF(DAY(SepSun1)=1,IF(AND(YEAR(SepSun1)=カレンダーの年,MONTH(SepSun1)=9),SepSun1,""),IF(AND(YEAR(SepSun1+7)=カレンダーの年,MONTH(SepSun1+7)=9),SepSun1+7,""))</f>
        <v>45536</v>
      </c>
      <c r="I5" s="11"/>
      <c r="K5" s="1"/>
      <c r="L5" s="1"/>
      <c r="M5" s="1"/>
      <c r="Q5" s="12"/>
      <c r="R5" s="1"/>
    </row>
    <row r="6" spans="1:18" s="12" customFormat="1" ht="74.75" customHeight="1">
      <c r="A6" s="3"/>
      <c r="B6" s="13"/>
      <c r="C6" s="13"/>
      <c r="D6" s="13"/>
      <c r="E6" s="13"/>
      <c r="F6" s="13"/>
      <c r="G6" s="36"/>
      <c r="H6" s="69" t="s">
        <v>123</v>
      </c>
      <c r="I6" s="11"/>
    </row>
    <row r="7" spans="1:18" ht="15" customHeight="1">
      <c r="A7" s="3"/>
      <c r="B7" s="15">
        <f>IF(DAY(SepSun1)=1,IF(AND(YEAR(SepSun1+1)=カレンダーの年,MONTH(SepSun1+1)=9),SepSun1+1,""),IF(AND(YEAR(SepSun1+8)=カレンダーの年,MONTH(SepSun1+8)=9),SepSun1+8,""))</f>
        <v>45537</v>
      </c>
      <c r="C7" s="15">
        <f>IF(DAY(SepSun1)=1,IF(AND(YEAR(SepSun1+2)=カレンダーの年,MONTH(SepSun1+2)=9),SepSun1+2,""),IF(AND(YEAR(SepSun1+9)=カレンダーの年,MONTH(SepSun1+9)=9),SepSun1+9,""))</f>
        <v>45538</v>
      </c>
      <c r="D7" s="15">
        <f>IF(DAY(SepSun1)=1,IF(AND(YEAR(SepSun1+3)=カレンダーの年,MONTH(SepSun1+3)=9),SepSun1+3,""),IF(AND(YEAR(SepSun1+10)=カレンダーの年,MONTH(SepSun1+10)=9),SepSun1+10,""))</f>
        <v>45539</v>
      </c>
      <c r="E7" s="15">
        <f>IF(DAY(SepSun1)=1,IF(AND(YEAR(SepSun1+4)=カレンダーの年,MONTH(SepSun1+4)=9),SepSun1+4,""),IF(AND(YEAR(SepSun1+11)=カレンダーの年,MONTH(SepSun1+11)=9),SepSun1+11,""))</f>
        <v>45540</v>
      </c>
      <c r="F7" s="15">
        <f>IF(DAY(SepSun1)=1,IF(AND(YEAR(SepSun1+5)=カレンダーの年,MONTH(SepSun1+5)=9),SepSun1+5,""),IF(AND(YEAR(SepSun1+12)=カレンダーの年,MONTH(SepSun1+12)=9),SepSun1+12,""))</f>
        <v>45541</v>
      </c>
      <c r="G7" s="15">
        <f>IF(DAY(SepSun1)=1,IF(AND(YEAR(SepSun1+6)=カレンダーの年,MONTH(SepSun1+6)=9),SepSun1+6,""),IF(AND(YEAR(SepSun1+13)=カレンダーの年,MONTH(SepSun1+13)=9),SepSun1+13,""))</f>
        <v>45542</v>
      </c>
      <c r="H7" s="15">
        <f>IF(DAY(SepSun1)=1,IF(AND(YEAR(SepSun1+7)=カレンダーの年,MONTH(SepSun1+7)=9),SepSun1+7,""),IF(AND(YEAR(SepSun1+14)=カレンダーの年,MONTH(SepSun1+14)=9),SepSun1+14,""))</f>
        <v>45543</v>
      </c>
      <c r="I7" s="11"/>
    </row>
    <row r="8" spans="1:18" ht="73.5" customHeight="1">
      <c r="A8" s="3"/>
      <c r="B8" s="16"/>
      <c r="C8" s="16"/>
      <c r="D8" s="16"/>
      <c r="E8" s="16"/>
      <c r="F8" s="16"/>
      <c r="G8" s="68" t="s">
        <v>122</v>
      </c>
      <c r="H8" s="68" t="s">
        <v>123</v>
      </c>
      <c r="I8" s="11"/>
    </row>
    <row r="9" spans="1:18" ht="15" customHeight="1">
      <c r="A9" s="3"/>
      <c r="B9" s="18">
        <f>IF(DAY(SepSun1)=1,IF(AND(YEAR(SepSun1+8)=カレンダーの年,MONTH(SepSun1+8)=9),SepSun1+8,""),IF(AND(YEAR(SepSun1+15)=カレンダーの年,MONTH(SepSun1+15)=9),SepSun1+15,""))</f>
        <v>45544</v>
      </c>
      <c r="C9" s="18">
        <f>IF(DAY(SepSun1)=1,IF(AND(YEAR(SepSun1+9)=カレンダーの年,MONTH(SepSun1+9)=9),SepSun1+9,""),IF(AND(YEAR(SepSun1+16)=カレンダーの年,MONTH(SepSun1+16)=9),SepSun1+16,""))</f>
        <v>45545</v>
      </c>
      <c r="D9" s="18">
        <f>IF(DAY(SepSun1)=1,IF(AND(YEAR(SepSun1+10)=カレンダーの年,MONTH(SepSun1+10)=9),SepSun1+10,""),IF(AND(YEAR(SepSun1+17)=カレンダーの年,MONTH(SepSun1+17)=9),SepSun1+17,""))</f>
        <v>45546</v>
      </c>
      <c r="E9" s="18">
        <f>IF(DAY(SepSun1)=1,IF(AND(YEAR(SepSun1+11)=カレンダーの年,MONTH(SepSun1+11)=9),SepSun1+11,""),IF(AND(YEAR(SepSun1+18)=カレンダーの年,MONTH(SepSun1+18)=9),SepSun1+18,""))</f>
        <v>45547</v>
      </c>
      <c r="F9" s="18">
        <f>IF(DAY(SepSun1)=1,IF(AND(YEAR(SepSun1+12)=カレンダーの年,MONTH(SepSun1+12)=9),SepSun1+12,""),IF(AND(YEAR(SepSun1+19)=カレンダーの年,MONTH(SepSun1+19)=9),SepSun1+19,""))</f>
        <v>45548</v>
      </c>
      <c r="G9" s="18">
        <f>IF(DAY(SepSun1)=1,IF(AND(YEAR(SepSun1+13)=カレンダーの年,MONTH(SepSun1+13)=9),SepSun1+13,""),IF(AND(YEAR(SepSun1+20)=カレンダーの年,MONTH(SepSun1+20)=9),SepSun1+20,""))</f>
        <v>45549</v>
      </c>
      <c r="H9" s="18">
        <f>IF(DAY(SepSun1)=1,IF(AND(YEAR(SepSun1+14)=カレンダーの年,MONTH(SepSun1+14)=9),SepSun1+14,""),IF(AND(YEAR(SepSun1+21)=カレンダーの年,MONTH(SepSun1+21)=9),SepSun1+21,""))</f>
        <v>45550</v>
      </c>
      <c r="I9" s="11"/>
    </row>
    <row r="10" spans="1:18" ht="66.400000000000006">
      <c r="A10" s="3"/>
      <c r="B10" s="13"/>
      <c r="C10" s="13"/>
      <c r="D10" s="13"/>
      <c r="E10" s="13"/>
      <c r="F10" s="13"/>
      <c r="G10" s="69" t="s">
        <v>122</v>
      </c>
      <c r="H10" s="69" t="s">
        <v>123</v>
      </c>
      <c r="I10" s="11"/>
    </row>
    <row r="11" spans="1:18" ht="15" customHeight="1">
      <c r="A11" s="3"/>
      <c r="B11" s="19">
        <f>IF(DAY(SepSun1)=1,IF(AND(YEAR(SepSun1+15)=カレンダーの年,MONTH(SepSun1+15)=9),SepSun1+15,""),IF(AND(YEAR(SepSun1+22)=カレンダーの年,MONTH(SepSun1+22)=9),SepSun1+22,""))</f>
        <v>45551</v>
      </c>
      <c r="C11" s="19">
        <f>IF(DAY(SepSun1)=1,IF(AND(YEAR(SepSun1+16)=カレンダーの年,MONTH(SepSun1+16)=9),SepSun1+16,""),IF(AND(YEAR(SepSun1+23)=カレンダーの年,MONTH(SepSun1+23)=9),SepSun1+23,""))</f>
        <v>45552</v>
      </c>
      <c r="D11" s="19">
        <f>IF(DAY(SepSun1)=1,IF(AND(YEAR(SepSun1+17)=カレンダーの年,MONTH(SepSun1+17)=9),SepSun1+17,""),IF(AND(YEAR(SepSun1+24)=カレンダーの年,MONTH(SepSun1+24)=9),SepSun1+24,""))</f>
        <v>45553</v>
      </c>
      <c r="E11" s="19">
        <f>IF(DAY(SepSun1)=1,IF(AND(YEAR(SepSun1+18)=カレンダーの年,MONTH(SepSun1+18)=9),SepSun1+18,""),IF(AND(YEAR(SepSun1+25)=カレンダーの年,MONTH(SepSun1+25)=9),SepSun1+25,""))</f>
        <v>45554</v>
      </c>
      <c r="F11" s="19">
        <f>IF(DAY(SepSun1)=1,IF(AND(YEAR(SepSun1+19)=カレンダーの年,MONTH(SepSun1+19)=9),SepSun1+19,""),IF(AND(YEAR(SepSun1+26)=カレンダーの年,MONTH(SepSun1+26)=9),SepSun1+26,""))</f>
        <v>45555</v>
      </c>
      <c r="G11" s="19">
        <f>IF(DAY(SepSun1)=1,IF(AND(YEAR(SepSun1+20)=カレンダーの年,MONTH(SepSun1+20)=9),SepSun1+20,""),IF(AND(YEAR(SepSun1+27)=カレンダーの年,MONTH(SepSun1+27)=9),SepSun1+27,""))</f>
        <v>45556</v>
      </c>
      <c r="H11" s="19">
        <f>IF(DAY(SepSun1)=1,IF(AND(YEAR(SepSun1+21)=カレンダーの年,MONTH(SepSun1+21)=9),SepSun1+21,""),IF(AND(YEAR(SepSun1+28)=カレンダーの年,MONTH(SepSun1+28)=9),SepSun1+28,""))</f>
        <v>45557</v>
      </c>
      <c r="I11" s="11"/>
    </row>
    <row r="12" spans="1:18" ht="66.400000000000006">
      <c r="A12" s="3"/>
      <c r="B12" s="16"/>
      <c r="C12" s="16"/>
      <c r="D12" s="16"/>
      <c r="E12" s="16"/>
      <c r="F12" s="16"/>
      <c r="G12" s="68" t="s">
        <v>122</v>
      </c>
      <c r="H12" s="68" t="s">
        <v>123</v>
      </c>
      <c r="I12" s="11"/>
    </row>
    <row r="13" spans="1:18" ht="15" customHeight="1">
      <c r="A13" s="3"/>
      <c r="B13" s="18">
        <f>IF(DAY(SepSun1)=1,IF(AND(YEAR(SepSun1+22)=カレンダーの年,MONTH(SepSun1+22)=9),SepSun1+22,""),IF(AND(YEAR(SepSun1+29)=カレンダーの年,MONTH(SepSun1+29)=9),SepSun1+29,""))</f>
        <v>45558</v>
      </c>
      <c r="C13" s="18">
        <f>IF(DAY(SepSun1)=1,IF(AND(YEAR(SepSun1+23)=カレンダーの年,MONTH(SepSun1+23)=9),SepSun1+23,""),IF(AND(YEAR(SepSun1+30)=カレンダーの年,MONTH(SepSun1+30)=9),SepSun1+30,""))</f>
        <v>45559</v>
      </c>
      <c r="D13" s="18">
        <f>IF(DAY(SepSun1)=1,IF(AND(YEAR(SepSun1+24)=カレンダーの年,MONTH(SepSun1+24)=9),SepSun1+24,""),IF(AND(YEAR(SepSun1+31)=カレンダーの年,MONTH(SepSun1+31)=9),SepSun1+31,""))</f>
        <v>45560</v>
      </c>
      <c r="E13" s="18">
        <f>IF(DAY(SepSun1)=1,IF(AND(YEAR(SepSun1+25)=カレンダーの年,MONTH(SepSun1+25)=9),SepSun1+25,""),IF(AND(YEAR(SepSun1+32)=カレンダーの年,MONTH(SepSun1+32)=9),SepSun1+32,""))</f>
        <v>45561</v>
      </c>
      <c r="F13" s="18">
        <f>IF(DAY(SepSun1)=1,IF(AND(YEAR(SepSun1+26)=カレンダーの年,MONTH(SepSun1+26)=9),SepSun1+26,""),IF(AND(YEAR(SepSun1+33)=カレンダーの年,MONTH(SepSun1+33)=9),SepSun1+33,""))</f>
        <v>45562</v>
      </c>
      <c r="G13" s="18">
        <f>IF(DAY(SepSun1)=1,IF(AND(YEAR(SepSun1+27)=カレンダーの年,MONTH(SepSun1+27)=9),SepSun1+27,""),IF(AND(YEAR(SepSun1+34)=カレンダーの年,MONTH(SepSun1+34)=9),SepSun1+34,""))</f>
        <v>45563</v>
      </c>
      <c r="H13" s="18">
        <f>IF(DAY(SepSun1)=1,IF(AND(YEAR(SepSun1+28)=カレンダーの年,MONTH(SepSun1+28)=9),SepSun1+28,""),IF(AND(YEAR(SepSun1+35)=カレンダーの年,MONTH(SepSun1+35)=9),SepSun1+35,""))</f>
        <v>45564</v>
      </c>
      <c r="I13" s="11"/>
    </row>
    <row r="14" spans="1:18" ht="66.400000000000006">
      <c r="A14" s="3"/>
      <c r="B14" s="91" t="s">
        <v>124</v>
      </c>
      <c r="C14" s="13"/>
      <c r="D14" s="13"/>
      <c r="E14" s="13"/>
      <c r="F14" s="13"/>
      <c r="G14" s="69" t="s">
        <v>122</v>
      </c>
      <c r="H14" s="67" t="s">
        <v>78</v>
      </c>
      <c r="I14" s="11"/>
    </row>
    <row r="15" spans="1:18" ht="15" customHeight="1">
      <c r="A15" s="3"/>
      <c r="B15" s="19">
        <f>IF(DAY(SepSun1)=1,IF(AND(YEAR(SepSun1+29)=カレンダーの年,MONTH(SepSun1+29)=9),SepSun1+29,""),IF(AND(YEAR(SepSun1+36)=カレンダーの年,MONTH(SepSun1+36)=9),SepSun1+36,""))</f>
        <v>45565</v>
      </c>
      <c r="C15" s="20" t="str">
        <f>IF(DAY(SepSun1)=1,IF(AND(YEAR(SepSun1+30)=カレンダーの年,MONTH(SepSun1+30)=9),SepSun1+30,""),IF(AND(YEAR(SepSun1+37)=カレンダーの年,MONTH(SepSun1+37)=9),SepSun1+37,""))</f>
        <v/>
      </c>
      <c r="D15" s="135" t="s">
        <v>8</v>
      </c>
      <c r="E15" s="136"/>
      <c r="F15" s="136"/>
      <c r="G15" s="136"/>
      <c r="H15" s="137"/>
      <c r="I15" s="11"/>
    </row>
    <row r="16" spans="1:18" ht="64.5" customHeight="1">
      <c r="A16" s="3"/>
      <c r="B16" s="16"/>
      <c r="C16" s="16"/>
      <c r="D16" s="132" t="s">
        <v>34</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R20"/>
  <sheetViews>
    <sheetView showGridLines="0" zoomScale="70" zoomScaleNormal="70" workbookViewId="0">
      <selection activeCell="G8" sqref="G8"/>
    </sheetView>
  </sheetViews>
  <sheetFormatPr defaultColWidth="6.6640625" defaultRowHeight="15"/>
  <cols>
    <col min="1" max="1" width="3.0546875" style="1" customWidth="1"/>
    <col min="2" max="2" width="14.27734375" style="1" customWidth="1"/>
    <col min="3" max="6" width="11.0546875" style="1" customWidth="1"/>
    <col min="7" max="8" width="20.664062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36</v>
      </c>
      <c r="D2" s="4"/>
      <c r="E2" s="4"/>
      <c r="F2" s="4"/>
      <c r="G2" s="4"/>
      <c r="H2" s="4"/>
      <c r="I2" s="4"/>
      <c r="J2" s="4"/>
    </row>
    <row r="3" spans="1:18" ht="62.25" customHeight="1">
      <c r="A3" s="3"/>
      <c r="B3" s="138" t="str">
        <f>UPPER(TEXT(DATE(カレンダーの年,10,1),"yyyy年m月"))</f>
        <v>2024年10月</v>
      </c>
      <c r="C3" s="138"/>
      <c r="D3" s="138"/>
      <c r="E3" s="138"/>
      <c r="F3" s="138"/>
      <c r="G3" s="92"/>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IF(DAY(OctSun1)=1,"",IF(AND(YEAR(OctSun1+1)=カレンダーの年,MONTH(OctSun1+1)=10),OctSun1+1,""))</f>
        <v/>
      </c>
      <c r="C5" s="10">
        <f>IF(DAY(OctSun1)=1,"",IF(AND(YEAR(OctSun1+2)=カレンダーの年,MONTH(OctSun1+2)=10),OctSun1+2,""))</f>
        <v>45566</v>
      </c>
      <c r="D5" s="10">
        <f>IF(DAY(OctSun1)=1,"",IF(AND(YEAR(OctSun1+3)=カレンダーの年,MONTH(OctSun1+3)=10),OctSun1+3,""))</f>
        <v>45567</v>
      </c>
      <c r="E5" s="10">
        <f>IF(DAY(OctSun1)=1,"",IF(AND(YEAR(OctSun1+4)=カレンダーの年,MONTH(OctSun1+4)=10),OctSun1+4,""))</f>
        <v>45568</v>
      </c>
      <c r="F5" s="10">
        <f>IF(DAY(OctSun1)=1,"",IF(AND(YEAR(OctSun1+5)=カレンダーの年,MONTH(OctSun1+5)=10),OctSun1+5,""))</f>
        <v>45569</v>
      </c>
      <c r="G5" s="10">
        <f>IF(DAY(OctSun1)=1,"",IF(AND(YEAR(OctSun1+6)=カレンダーの年,MONTH(OctSun1+6)=10),OctSun1+6,""))</f>
        <v>45570</v>
      </c>
      <c r="H5" s="10">
        <f>IF(DAY(OctSun1)=1,IF(AND(YEAR(OctSun1)=カレンダーの年,MONTH(OctSun1)=10),OctSun1,""),IF(AND(YEAR(OctSun1+7)=カレンダーの年,MONTH(OctSun1+7)=10),OctSun1+7,""))</f>
        <v>45571</v>
      </c>
      <c r="I5" s="11"/>
      <c r="K5" s="1"/>
      <c r="L5" s="1"/>
      <c r="M5" s="1"/>
      <c r="Q5" s="12"/>
      <c r="R5" s="1"/>
    </row>
    <row r="6" spans="1:18" s="12" customFormat="1" ht="66.400000000000006">
      <c r="A6" s="3"/>
      <c r="B6" s="13"/>
      <c r="C6" s="13"/>
      <c r="D6" s="13"/>
      <c r="E6" s="13"/>
      <c r="F6" s="13"/>
      <c r="G6" s="69" t="s">
        <v>122</v>
      </c>
      <c r="H6" s="69" t="s">
        <v>123</v>
      </c>
      <c r="I6" s="11"/>
    </row>
    <row r="7" spans="1:18" ht="15" customHeight="1">
      <c r="A7" s="3"/>
      <c r="B7" s="15">
        <f>IF(DAY(OctSun1)=1,IF(AND(YEAR(OctSun1+1)=カレンダーの年,MONTH(OctSun1+1)=10),OctSun1+1,""),IF(AND(YEAR(OctSun1+8)=カレンダーの年,MONTH(OctSun1+8)=10),OctSun1+8,""))</f>
        <v>45572</v>
      </c>
      <c r="C7" s="15">
        <f>IF(DAY(OctSun1)=1,IF(AND(YEAR(OctSun1+2)=カレンダーの年,MONTH(OctSun1+2)=10),OctSun1+2,""),IF(AND(YEAR(OctSun1+9)=カレンダーの年,MONTH(OctSun1+9)=10),OctSun1+9,""))</f>
        <v>45573</v>
      </c>
      <c r="D7" s="15">
        <f>IF(DAY(OctSun1)=1,IF(AND(YEAR(OctSun1+3)=カレンダーの年,MONTH(OctSun1+3)=10),OctSun1+3,""),IF(AND(YEAR(OctSun1+10)=カレンダーの年,MONTH(OctSun1+10)=10),OctSun1+10,""))</f>
        <v>45574</v>
      </c>
      <c r="E7" s="15">
        <f>IF(DAY(OctSun1)=1,IF(AND(YEAR(OctSun1+4)=カレンダーの年,MONTH(OctSun1+4)=10),OctSun1+4,""),IF(AND(YEAR(OctSun1+11)=カレンダーの年,MONTH(OctSun1+11)=10),OctSun1+11,""))</f>
        <v>45575</v>
      </c>
      <c r="F7" s="15">
        <f>IF(DAY(OctSun1)=1,IF(AND(YEAR(OctSun1+5)=カレンダーの年,MONTH(OctSun1+5)=10),OctSun1+5,""),IF(AND(YEAR(OctSun1+12)=カレンダーの年,MONTH(OctSun1+12)=10),OctSun1+12,""))</f>
        <v>45576</v>
      </c>
      <c r="G7" s="15">
        <f>IF(DAY(OctSun1)=1,IF(AND(YEAR(OctSun1+6)=カレンダーの年,MONTH(OctSun1+6)=10),OctSun1+6,""),IF(AND(YEAR(OctSun1+13)=カレンダーの年,MONTH(OctSun1+13)=10),OctSun1+13,""))</f>
        <v>45577</v>
      </c>
      <c r="H7" s="15">
        <f>IF(DAY(OctSun1)=1,IF(AND(YEAR(OctSun1+7)=カレンダーの年,MONTH(OctSun1+7)=10),OctSun1+7,""),IF(AND(YEAR(OctSun1+14)=カレンダーの年,MONTH(OctSun1+14)=10),OctSun1+14,""))</f>
        <v>45578</v>
      </c>
      <c r="I7" s="11"/>
    </row>
    <row r="8" spans="1:18" ht="69" customHeight="1">
      <c r="A8" s="3"/>
      <c r="B8" s="16"/>
      <c r="C8" s="16"/>
      <c r="D8" s="16"/>
      <c r="E8" s="16"/>
      <c r="F8" s="16"/>
      <c r="G8" s="68" t="s">
        <v>122</v>
      </c>
      <c r="H8" s="68" t="s">
        <v>127</v>
      </c>
      <c r="I8" s="11"/>
    </row>
    <row r="9" spans="1:18" ht="15" customHeight="1">
      <c r="A9" s="3"/>
      <c r="B9" s="18">
        <f>IF(DAY(OctSun1)=1,IF(AND(YEAR(OctSun1+8)=カレンダーの年,MONTH(OctSun1+8)=10),OctSun1+8,""),IF(AND(YEAR(OctSun1+15)=カレンダーの年,MONTH(OctSun1+15)=10),OctSun1+15,""))</f>
        <v>45579</v>
      </c>
      <c r="C9" s="18">
        <f>IF(DAY(OctSun1)=1,IF(AND(YEAR(OctSun1+9)=カレンダーの年,MONTH(OctSun1+9)=10),OctSun1+9,""),IF(AND(YEAR(OctSun1+16)=カレンダーの年,MONTH(OctSun1+16)=10),OctSun1+16,""))</f>
        <v>45580</v>
      </c>
      <c r="D9" s="18">
        <f>IF(DAY(OctSun1)=1,IF(AND(YEAR(OctSun1+10)=カレンダーの年,MONTH(OctSun1+10)=10),OctSun1+10,""),IF(AND(YEAR(OctSun1+17)=カレンダーの年,MONTH(OctSun1+17)=10),OctSun1+17,""))</f>
        <v>45581</v>
      </c>
      <c r="E9" s="18">
        <f>IF(DAY(OctSun1)=1,IF(AND(YEAR(OctSun1+11)=カレンダーの年,MONTH(OctSun1+11)=10),OctSun1+11,""),IF(AND(YEAR(OctSun1+18)=カレンダーの年,MONTH(OctSun1+18)=10),OctSun1+18,""))</f>
        <v>45582</v>
      </c>
      <c r="F9" s="18">
        <f>IF(DAY(OctSun1)=1,IF(AND(YEAR(OctSun1+12)=カレンダーの年,MONTH(OctSun1+12)=10),OctSun1+12,""),IF(AND(YEAR(OctSun1+19)=カレンダーの年,MONTH(OctSun1+19)=10),OctSun1+19,""))</f>
        <v>45583</v>
      </c>
      <c r="G9" s="18">
        <f>IF(DAY(OctSun1)=1,IF(AND(YEAR(OctSun1+13)=カレンダーの年,MONTH(OctSun1+13)=10),OctSun1+13,""),IF(AND(YEAR(OctSun1+20)=カレンダーの年,MONTH(OctSun1+20)=10),OctSun1+20,""))</f>
        <v>45584</v>
      </c>
      <c r="H9" s="18">
        <f>IF(DAY(OctSun1)=1,IF(AND(YEAR(OctSun1+14)=カレンダーの年,MONTH(OctSun1+14)=10),OctSun1+14,""),IF(AND(YEAR(OctSun1+21)=カレンダーの年,MONTH(OctSun1+21)=10),OctSun1+21,""))</f>
        <v>45585</v>
      </c>
      <c r="I9" s="11"/>
    </row>
    <row r="10" spans="1:18" ht="82.5">
      <c r="A10" s="3"/>
      <c r="B10" s="70" t="s">
        <v>126</v>
      </c>
      <c r="C10" s="13"/>
      <c r="D10" s="13"/>
      <c r="E10" s="13"/>
      <c r="F10" s="13"/>
      <c r="G10" s="69" t="s">
        <v>122</v>
      </c>
      <c r="H10" s="69" t="s">
        <v>123</v>
      </c>
      <c r="I10" s="11"/>
    </row>
    <row r="11" spans="1:18" ht="15" customHeight="1">
      <c r="A11" s="3"/>
      <c r="B11" s="19">
        <f>IF(DAY(OctSun1)=1,IF(AND(YEAR(OctSun1+15)=カレンダーの年,MONTH(OctSun1+15)=10),OctSun1+15,""),IF(AND(YEAR(OctSun1+22)=カレンダーの年,MONTH(OctSun1+22)=10),OctSun1+22,""))</f>
        <v>45586</v>
      </c>
      <c r="C11" s="19">
        <f>IF(DAY(OctSun1)=1,IF(AND(YEAR(OctSun1+16)=カレンダーの年,MONTH(OctSun1+16)=10),OctSun1+16,""),IF(AND(YEAR(OctSun1+23)=カレンダーの年,MONTH(OctSun1+23)=10),OctSun1+23,""))</f>
        <v>45587</v>
      </c>
      <c r="D11" s="19">
        <f>IF(DAY(OctSun1)=1,IF(AND(YEAR(OctSun1+17)=カレンダーの年,MONTH(OctSun1+17)=10),OctSun1+17,""),IF(AND(YEAR(OctSun1+24)=カレンダーの年,MONTH(OctSun1+24)=10),OctSun1+24,""))</f>
        <v>45588</v>
      </c>
      <c r="E11" s="19">
        <f>IF(DAY(OctSun1)=1,IF(AND(YEAR(OctSun1+18)=カレンダーの年,MONTH(OctSun1+18)=10),OctSun1+18,""),IF(AND(YEAR(OctSun1+25)=カレンダーの年,MONTH(OctSun1+25)=10),OctSun1+25,""))</f>
        <v>45589</v>
      </c>
      <c r="F11" s="19">
        <f>IF(DAY(OctSun1)=1,IF(AND(YEAR(OctSun1+19)=カレンダーの年,MONTH(OctSun1+19)=10),OctSun1+19,""),IF(AND(YEAR(OctSun1+26)=カレンダーの年,MONTH(OctSun1+26)=10),OctSun1+26,""))</f>
        <v>45590</v>
      </c>
      <c r="G11" s="19">
        <f>IF(DAY(OctSun1)=1,IF(AND(YEAR(OctSun1+20)=カレンダーの年,MONTH(OctSun1+20)=10),OctSun1+20,""),IF(AND(YEAR(OctSun1+27)=カレンダーの年,MONTH(OctSun1+27)=10),OctSun1+27,""))</f>
        <v>45591</v>
      </c>
      <c r="H11" s="19">
        <f>IF(DAY(OctSun1)=1,IF(AND(YEAR(OctSun1+21)=カレンダーの年,MONTH(OctSun1+21)=10),OctSun1+21,""),IF(AND(YEAR(OctSun1+28)=カレンダーの年,MONTH(OctSun1+28)=10),OctSun1+28,""))</f>
        <v>45592</v>
      </c>
      <c r="I11" s="11"/>
    </row>
    <row r="12" spans="1:18" ht="66.400000000000006">
      <c r="A12" s="3"/>
      <c r="B12" s="16"/>
      <c r="C12" s="16"/>
      <c r="D12" s="16"/>
      <c r="E12" s="16"/>
      <c r="F12" s="16"/>
      <c r="G12" s="68" t="s">
        <v>122</v>
      </c>
      <c r="H12" s="68" t="s">
        <v>123</v>
      </c>
      <c r="I12" s="11"/>
    </row>
    <row r="13" spans="1:18" ht="15" customHeight="1">
      <c r="A13" s="3"/>
      <c r="B13" s="18">
        <f>IF(DAY(OctSun1)=1,IF(AND(YEAR(OctSun1+22)=カレンダーの年,MONTH(OctSun1+22)=10),OctSun1+22,""),IF(AND(YEAR(OctSun1+29)=カレンダーの年,MONTH(OctSun1+29)=10),OctSun1+29,""))</f>
        <v>45593</v>
      </c>
      <c r="C13" s="18">
        <f>IF(DAY(OctSun1)=1,IF(AND(YEAR(OctSun1+23)=カレンダーの年,MONTH(OctSun1+23)=10),OctSun1+23,""),IF(AND(YEAR(OctSun1+30)=カレンダーの年,MONTH(OctSun1+30)=10),OctSun1+30,""))</f>
        <v>45594</v>
      </c>
      <c r="D13" s="18">
        <f>IF(DAY(OctSun1)=1,IF(AND(YEAR(OctSun1+24)=カレンダーの年,MONTH(OctSun1+24)=10),OctSun1+24,""),IF(AND(YEAR(OctSun1+31)=カレンダーの年,MONTH(OctSun1+31)=10),OctSun1+31,""))</f>
        <v>45595</v>
      </c>
      <c r="E13" s="18">
        <f>IF(DAY(OctSun1)=1,IF(AND(YEAR(OctSun1+25)=カレンダーの年,MONTH(OctSun1+25)=10),OctSun1+25,""),IF(AND(YEAR(OctSun1+32)=カレンダーの年,MONTH(OctSun1+32)=10),OctSun1+32,""))</f>
        <v>45596</v>
      </c>
      <c r="F13" s="18" t="str">
        <f>IF(DAY(OctSun1)=1,IF(AND(YEAR(OctSun1+26)=カレンダーの年,MONTH(OctSun1+26)=10),OctSun1+26,""),IF(AND(YEAR(OctSun1+33)=カレンダーの年,MONTH(OctSun1+33)=10),OctSun1+33,""))</f>
        <v/>
      </c>
      <c r="G13" s="18" t="str">
        <f>IF(DAY(OctSun1)=1,IF(AND(YEAR(OctSun1+27)=カレンダーの年,MONTH(OctSun1+27)=10),OctSun1+27,""),IF(AND(YEAR(OctSun1+34)=カレンダーの年,MONTH(OctSun1+34)=10),OctSun1+34,""))</f>
        <v/>
      </c>
      <c r="H13" s="18" t="str">
        <f>IF(DAY(OctSun1)=1,IF(AND(YEAR(OctSun1+28)=カレンダーの年,MONTH(OctSun1+28)=10),OctSun1+28,""),IF(AND(YEAR(OctSun1+35)=カレンダーの年,MONTH(OctSun1+35)=10),OctSun1+35,""))</f>
        <v/>
      </c>
      <c r="I13" s="11"/>
    </row>
    <row r="14" spans="1:18" ht="16.5">
      <c r="A14" s="3"/>
      <c r="B14" s="13"/>
      <c r="C14" s="13"/>
      <c r="D14" s="13"/>
      <c r="E14" s="13"/>
      <c r="F14" s="13"/>
      <c r="G14" s="14"/>
      <c r="H14" s="36"/>
      <c r="I14" s="11"/>
    </row>
    <row r="15" spans="1:18" ht="15" customHeight="1">
      <c r="A15" s="3"/>
      <c r="B15" s="19" t="str">
        <f>IF(DAY(OctSun1)=1,IF(AND(YEAR(OctSun1+29)=カレンダーの年,MONTH(OctSun1+29)=10),OctSun1+29,""),IF(AND(YEAR(OctSun1+36)=カレンダーの年,MONTH(OctSun1+36)=10),OctSun1+36,""))</f>
        <v/>
      </c>
      <c r="C15" s="20" t="str">
        <f>IF(DAY(OctSun1)=1,IF(AND(YEAR(OctSun1+30)=カレンダーの年,MONTH(OctSun1+30)=10),OctSun1+30,""),IF(AND(YEAR(OctSun1+37)=カレンダーの年,MONTH(OctSun1+37)=10),OctSun1+37,""))</f>
        <v/>
      </c>
      <c r="D15" s="135" t="s">
        <v>8</v>
      </c>
      <c r="E15" s="136"/>
      <c r="F15" s="136"/>
      <c r="G15" s="136"/>
      <c r="H15" s="137"/>
      <c r="I15" s="11"/>
    </row>
    <row r="16" spans="1:18" ht="64.5" customHeight="1">
      <c r="A16" s="3"/>
      <c r="B16" s="16"/>
      <c r="C16" s="16"/>
      <c r="D16" s="132" t="s">
        <v>125</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pageSetUpPr fitToPage="1"/>
  </sheetPr>
  <dimension ref="A1:R20"/>
  <sheetViews>
    <sheetView showGridLines="0" zoomScale="80" zoomScaleNormal="80" workbookViewId="0">
      <selection activeCell="Q14" sqref="Q14"/>
    </sheetView>
  </sheetViews>
  <sheetFormatPr defaultColWidth="6.6640625" defaultRowHeight="15"/>
  <cols>
    <col min="1" max="1" width="3.0546875" style="1" customWidth="1"/>
    <col min="2" max="2" width="9.109375" style="1" customWidth="1"/>
    <col min="3" max="3" width="8.6640625" style="1" customWidth="1"/>
    <col min="4" max="5" width="13.77734375" style="1" customWidth="1"/>
    <col min="6" max="6" width="9.5546875" style="1" customWidth="1"/>
    <col min="7" max="7" width="19.5546875" style="1" customWidth="1"/>
    <col min="8" max="8" width="21.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37</v>
      </c>
      <c r="D2" s="4"/>
      <c r="E2" s="4"/>
      <c r="F2" s="4"/>
      <c r="G2" s="4"/>
      <c r="H2" s="4"/>
      <c r="I2" s="4"/>
      <c r="J2" s="4"/>
    </row>
    <row r="3" spans="1:18" ht="62.25" customHeight="1">
      <c r="A3" s="3"/>
      <c r="B3" s="138" t="str">
        <f>UPPER(TEXT(DATE(カレンダーの年,11,1),"yyyy年m月"))</f>
        <v>2024年11月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IF(DAY(NovSun1)=1,"",IF(AND(YEAR(NovSun1+1)=カレンダーの年,MONTH(NovSun1+1)=11),NovSun1+1,""))</f>
        <v/>
      </c>
      <c r="C5" s="10" t="str">
        <f>IF(DAY(NovSun1)=1,"",IF(AND(YEAR(NovSun1+2)=カレンダーの年,MONTH(NovSun1+2)=11),NovSun1+2,""))</f>
        <v/>
      </c>
      <c r="D5" s="10" t="str">
        <f>IF(DAY(NovSun1)=1,"",IF(AND(YEAR(NovSun1+3)=カレンダーの年,MONTH(NovSun1+3)=11),NovSun1+3,""))</f>
        <v/>
      </c>
      <c r="E5" s="10" t="str">
        <f>IF(DAY(NovSun1)=1,"",IF(AND(YEAR(NovSun1+4)=カレンダーの年,MONTH(NovSun1+4)=11),NovSun1+4,""))</f>
        <v/>
      </c>
      <c r="F5" s="10">
        <f>IF(DAY(NovSun1)=1,"",IF(AND(YEAR(NovSun1+5)=カレンダーの年,MONTH(NovSun1+5)=11),NovSun1+5,""))</f>
        <v>45597</v>
      </c>
      <c r="G5" s="10">
        <f>IF(DAY(NovSun1)=1,"",IF(AND(YEAR(NovSun1+6)=カレンダーの年,MONTH(NovSun1+6)=11),NovSun1+6,""))</f>
        <v>45598</v>
      </c>
      <c r="H5" s="10">
        <f>IF(DAY(NovSun1)=1,IF(AND(YEAR(NovSun1)=カレンダーの年,MONTH(NovSun1)=11),NovSun1,""),IF(AND(YEAR(NovSun1+7)=カレンダーの年,MONTH(NovSun1+7)=11),NovSun1+7,""))</f>
        <v>45599</v>
      </c>
      <c r="I5" s="11"/>
      <c r="K5" s="1"/>
      <c r="L5" s="1"/>
      <c r="M5" s="1"/>
      <c r="Q5" s="12"/>
      <c r="R5" s="1"/>
    </row>
    <row r="6" spans="1:18" s="12" customFormat="1" ht="72" customHeight="1">
      <c r="A6" s="3"/>
      <c r="B6" s="13"/>
      <c r="C6" s="13"/>
      <c r="D6" s="13"/>
      <c r="E6" s="13"/>
      <c r="F6" s="13"/>
      <c r="G6" s="37"/>
      <c r="H6" s="93" t="s">
        <v>123</v>
      </c>
      <c r="I6" s="11"/>
      <c r="P6"/>
    </row>
    <row r="7" spans="1:18" ht="15" customHeight="1">
      <c r="A7" s="3"/>
      <c r="B7" s="15">
        <f>IF(DAY(NovSun1)=1,IF(AND(YEAR(NovSun1+1)=カレンダーの年,MONTH(NovSun1+1)=11),NovSun1+1,""),IF(AND(YEAR(NovSun1+8)=カレンダーの年,MONTH(NovSun1+8)=11),NovSun1+8,""))</f>
        <v>45600</v>
      </c>
      <c r="C7" s="15">
        <f>IF(DAY(NovSun1)=1,IF(AND(YEAR(NovSun1+2)=カレンダーの年,MONTH(NovSun1+2)=11),NovSun1+2,""),IF(AND(YEAR(NovSun1+9)=カレンダーの年,MONTH(NovSun1+9)=11),NovSun1+9,""))</f>
        <v>45601</v>
      </c>
      <c r="D7" s="15">
        <f>IF(DAY(NovSun1)=1,IF(AND(YEAR(NovSun1+3)=カレンダーの年,MONTH(NovSun1+3)=11),NovSun1+3,""),IF(AND(YEAR(NovSun1+10)=カレンダーの年,MONTH(NovSun1+10)=11),NovSun1+10,""))</f>
        <v>45602</v>
      </c>
      <c r="E7" s="15">
        <f>IF(DAY(NovSun1)=1,IF(AND(YEAR(NovSun1+4)=カレンダーの年,MONTH(NovSun1+4)=11),NovSun1+4,""),IF(AND(YEAR(NovSun1+11)=カレンダーの年,MONTH(NovSun1+11)=11),NovSun1+11,""))</f>
        <v>45603</v>
      </c>
      <c r="F7" s="15">
        <f>IF(DAY(NovSun1)=1,IF(AND(YEAR(NovSun1+5)=カレンダーの年,MONTH(NovSun1+5)=11),NovSun1+5,""),IF(AND(YEAR(NovSun1+12)=カレンダーの年,MONTH(NovSun1+12)=11),NovSun1+12,""))</f>
        <v>45604</v>
      </c>
      <c r="G7" s="38">
        <f>IF(DAY(NovSun1)=1,IF(AND(YEAR(NovSun1+6)=カレンダーの年,MONTH(NovSun1+6)=11),NovSun1+6,""),IF(AND(YEAR(NovSun1+13)=カレンダーの年,MONTH(NovSun1+13)=11),NovSun1+13,""))</f>
        <v>45605</v>
      </c>
      <c r="H7" s="38">
        <f>IF(DAY(NovSun1)=1,IF(AND(YEAR(NovSun1+7)=カレンダーの年,MONTH(NovSun1+7)=11),NovSun1+7,""),IF(AND(YEAR(NovSun1+14)=カレンダーの年,MONTH(NovSun1+14)=11),NovSun1+14,""))</f>
        <v>45606</v>
      </c>
      <c r="I7" s="11"/>
    </row>
    <row r="8" spans="1:18" ht="75">
      <c r="A8" s="3"/>
      <c r="B8" s="16"/>
      <c r="C8" s="16"/>
      <c r="D8" s="16"/>
      <c r="E8" s="16"/>
      <c r="F8" s="16"/>
      <c r="G8" s="94" t="s">
        <v>128</v>
      </c>
      <c r="H8" s="94" t="s">
        <v>123</v>
      </c>
      <c r="I8" s="11"/>
      <c r="Q8"/>
    </row>
    <row r="9" spans="1:18" ht="15" customHeight="1">
      <c r="A9" s="3"/>
      <c r="B9" s="18">
        <f>IF(DAY(NovSun1)=1,IF(AND(YEAR(NovSun1+8)=カレンダーの年,MONTH(NovSun1+8)=11),NovSun1+8,""),IF(AND(YEAR(NovSun1+15)=カレンダーの年,MONTH(NovSun1+15)=11),NovSun1+15,""))</f>
        <v>45607</v>
      </c>
      <c r="C9" s="18">
        <f>IF(DAY(NovSun1)=1,IF(AND(YEAR(NovSun1+9)=カレンダーの年,MONTH(NovSun1+9)=11),NovSun1+9,""),IF(AND(YEAR(NovSun1+16)=カレンダーの年,MONTH(NovSun1+16)=11),NovSun1+16,""))</f>
        <v>45608</v>
      </c>
      <c r="D9" s="18">
        <f>IF(DAY(NovSun1)=1,IF(AND(YEAR(NovSun1+10)=カレンダーの年,MONTH(NovSun1+10)=11),NovSun1+10,""),IF(AND(YEAR(NovSun1+17)=カレンダーの年,MONTH(NovSun1+17)=11),NovSun1+17,""))</f>
        <v>45609</v>
      </c>
      <c r="E9" s="18">
        <f>IF(DAY(NovSun1)=1,IF(AND(YEAR(NovSun1+11)=カレンダーの年,MONTH(NovSun1+11)=11),NovSun1+11,""),IF(AND(YEAR(NovSun1+18)=カレンダーの年,MONTH(NovSun1+18)=11),NovSun1+18,""))</f>
        <v>45610</v>
      </c>
      <c r="F9" s="18">
        <f>IF(DAY(NovSun1)=1,IF(AND(YEAR(NovSun1+12)=カレンダーの年,MONTH(NovSun1+12)=11),NovSun1+12,""),IF(AND(YEAR(NovSun1+19)=カレンダーの年,MONTH(NovSun1+19)=11),NovSun1+19,""))</f>
        <v>45611</v>
      </c>
      <c r="G9" s="39">
        <f>IF(DAY(NovSun1)=1,IF(AND(YEAR(NovSun1+13)=カレンダーの年,MONTH(NovSun1+13)=11),NovSun1+13,""),IF(AND(YEAR(NovSun1+20)=カレンダーの年,MONTH(NovSun1+20)=11),NovSun1+20,""))</f>
        <v>45612</v>
      </c>
      <c r="H9" s="39">
        <f>IF(DAY(NovSun1)=1,IF(AND(YEAR(NovSun1+14)=カレンダーの年,MONTH(NovSun1+14)=11),NovSun1+14,""),IF(AND(YEAR(NovSun1+21)=カレンダーの年,MONTH(NovSun1+21)=11),NovSun1+21,""))</f>
        <v>45613</v>
      </c>
      <c r="I9" s="11"/>
    </row>
    <row r="10" spans="1:18" ht="64.5" customHeight="1">
      <c r="A10" s="3"/>
      <c r="B10" s="13"/>
      <c r="C10" s="13"/>
      <c r="D10" s="13"/>
      <c r="E10" s="13"/>
      <c r="F10" s="13"/>
      <c r="G10" s="93" t="s">
        <v>122</v>
      </c>
      <c r="H10" s="93" t="s">
        <v>123</v>
      </c>
      <c r="I10" s="11"/>
    </row>
    <row r="11" spans="1:18" ht="15" customHeight="1">
      <c r="A11" s="3"/>
      <c r="B11" s="19">
        <f>IF(DAY(NovSun1)=1,IF(AND(YEAR(NovSun1+15)=カレンダーの年,MONTH(NovSun1+15)=11),NovSun1+15,""),IF(AND(YEAR(NovSun1+22)=カレンダーの年,MONTH(NovSun1+22)=11),NovSun1+22,""))</f>
        <v>45614</v>
      </c>
      <c r="C11" s="19">
        <f>IF(DAY(NovSun1)=1,IF(AND(YEAR(NovSun1+16)=カレンダーの年,MONTH(NovSun1+16)=11),NovSun1+16,""),IF(AND(YEAR(NovSun1+23)=カレンダーの年,MONTH(NovSun1+23)=11),NovSun1+23,""))</f>
        <v>45615</v>
      </c>
      <c r="D11" s="19">
        <f>IF(DAY(NovSun1)=1,IF(AND(YEAR(NovSun1+17)=カレンダーの年,MONTH(NovSun1+17)=11),NovSun1+17,""),IF(AND(YEAR(NovSun1+24)=カレンダーの年,MONTH(NovSun1+24)=11),NovSun1+24,""))</f>
        <v>45616</v>
      </c>
      <c r="E11" s="19">
        <f>IF(DAY(NovSun1)=1,IF(AND(YEAR(NovSun1+18)=カレンダーの年,MONTH(NovSun1+18)=11),NovSun1+18,""),IF(AND(YEAR(NovSun1+25)=カレンダーの年,MONTH(NovSun1+25)=11),NovSun1+25,""))</f>
        <v>45617</v>
      </c>
      <c r="F11" s="19">
        <f>IF(DAY(NovSun1)=1,IF(AND(YEAR(NovSun1+19)=カレンダーの年,MONTH(NovSun1+19)=11),NovSun1+19,""),IF(AND(YEAR(NovSun1+26)=カレンダーの年,MONTH(NovSun1+26)=11),NovSun1+26,""))</f>
        <v>45618</v>
      </c>
      <c r="G11" s="40">
        <f>IF(DAY(NovSun1)=1,IF(AND(YEAR(NovSun1+20)=カレンダーの年,MONTH(NovSun1+20)=11),NovSun1+20,""),IF(AND(YEAR(NovSun1+27)=カレンダーの年,MONTH(NovSun1+27)=11),NovSun1+27,""))</f>
        <v>45619</v>
      </c>
      <c r="H11" s="40">
        <f>IF(DAY(NovSun1)=1,IF(AND(YEAR(NovSun1+21)=カレンダーの年,MONTH(NovSun1+21)=11),NovSun1+21,""),IF(AND(YEAR(NovSun1+28)=カレンダーの年,MONTH(NovSun1+28)=11),NovSun1+28,""))</f>
        <v>45620</v>
      </c>
      <c r="I11" s="11"/>
    </row>
    <row r="12" spans="1:18" ht="64.5" customHeight="1">
      <c r="A12" s="3"/>
      <c r="B12" s="16"/>
      <c r="C12" s="16"/>
      <c r="D12" s="16"/>
      <c r="E12" s="16"/>
      <c r="F12" s="16"/>
      <c r="G12" s="94" t="s">
        <v>122</v>
      </c>
      <c r="H12" s="94" t="s">
        <v>123</v>
      </c>
      <c r="I12" s="11"/>
      <c r="M12"/>
      <c r="P12"/>
    </row>
    <row r="13" spans="1:18" ht="15" customHeight="1">
      <c r="A13" s="3"/>
      <c r="B13" s="18">
        <f>IF(DAY(NovSun1)=1,IF(AND(YEAR(NovSun1+22)=カレンダーの年,MONTH(NovSun1+22)=11),NovSun1+22,""),IF(AND(YEAR(NovSun1+29)=カレンダーの年,MONTH(NovSun1+29)=11),NovSun1+29,""))</f>
        <v>45621</v>
      </c>
      <c r="C13" s="18">
        <f>IF(DAY(NovSun1)=1,IF(AND(YEAR(NovSun1+23)=カレンダーの年,MONTH(NovSun1+23)=11),NovSun1+23,""),IF(AND(YEAR(NovSun1+30)=カレンダーの年,MONTH(NovSun1+30)=11),NovSun1+30,""))</f>
        <v>45622</v>
      </c>
      <c r="D13" s="18">
        <f>IF(DAY(NovSun1)=1,IF(AND(YEAR(NovSun1+24)=カレンダーの年,MONTH(NovSun1+24)=11),NovSun1+24,""),IF(AND(YEAR(NovSun1+31)=カレンダーの年,MONTH(NovSun1+31)=11),NovSun1+31,""))</f>
        <v>45623</v>
      </c>
      <c r="E13" s="18">
        <f>IF(DAY(NovSun1)=1,IF(AND(YEAR(NovSun1+25)=カレンダーの年,MONTH(NovSun1+25)=11),NovSun1+25,""),IF(AND(YEAR(NovSun1+32)=カレンダーの年,MONTH(NovSun1+32)=11),NovSun1+32,""))</f>
        <v>45624</v>
      </c>
      <c r="F13" s="18">
        <f>IF(DAY(NovSun1)=1,IF(AND(YEAR(NovSun1+26)=カレンダーの年,MONTH(NovSun1+26)=11),NovSun1+26,""),IF(AND(YEAR(NovSun1+33)=カレンダーの年,MONTH(NovSun1+33)=11),NovSun1+33,""))</f>
        <v>45625</v>
      </c>
      <c r="G13" s="18">
        <f>IF(DAY(NovSun1)=1,IF(AND(YEAR(NovSun1+27)=カレンダーの年,MONTH(NovSun1+27)=11),NovSun1+27,""),IF(AND(YEAR(NovSun1+34)=カレンダーの年,MONTH(NovSun1+34)=11),NovSun1+34,""))</f>
        <v>45626</v>
      </c>
      <c r="H13" s="18" t="str">
        <f>IF(DAY(NovSun1)=1,IF(AND(YEAR(NovSun1+28)=カレンダーの年,MONTH(NovSun1+28)=11),NovSun1+28,""),IF(AND(YEAR(NovSun1+35)=カレンダーの年,MONTH(NovSun1+35)=11),NovSun1+35,""))</f>
        <v/>
      </c>
      <c r="I13" s="11"/>
    </row>
    <row r="14" spans="1:18" ht="91.5" customHeight="1">
      <c r="A14" s="3"/>
      <c r="B14" s="13"/>
      <c r="C14" s="13"/>
      <c r="D14" s="13"/>
      <c r="E14" s="13"/>
      <c r="F14" s="13"/>
      <c r="G14" s="69" t="s">
        <v>122</v>
      </c>
      <c r="H14" s="14"/>
      <c r="I14" s="11"/>
    </row>
    <row r="15" spans="1:18" ht="15" customHeight="1">
      <c r="A15" s="3"/>
      <c r="B15" s="19" t="str">
        <f>IF(DAY(NovSun1)=1,IF(AND(YEAR(NovSun1+29)=カレンダーの年,MONTH(NovSun1+29)=11),NovSun1+29,""),IF(AND(YEAR(NovSun1+36)=カレンダーの年,MONTH(NovSun1+36)=11),NovSun1+36,""))</f>
        <v/>
      </c>
      <c r="C15" s="20" t="str">
        <f>IF(DAY(NovSun1)=1,IF(AND(YEAR(NovSun1+30)=カレンダーの年,MONTH(NovSun1+30)=11),NovSun1+30,""),IF(AND(YEAR(NovSun1+37)=カレンダーの年,MONTH(NovSun1+37)=11),NovSun1+37,""))</f>
        <v/>
      </c>
      <c r="D15" s="135" t="s">
        <v>8</v>
      </c>
      <c r="E15" s="136"/>
      <c r="F15" s="136"/>
      <c r="G15" s="136"/>
      <c r="H15" s="137"/>
      <c r="I15" s="11"/>
    </row>
    <row r="16" spans="1:18" ht="64.5" customHeight="1">
      <c r="A16" s="3"/>
      <c r="B16" s="16"/>
      <c r="C16" s="16"/>
      <c r="D16" s="139" t="s">
        <v>79</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34998626667073579"/>
    <pageSetUpPr fitToPage="1"/>
  </sheetPr>
  <dimension ref="A1:R20"/>
  <sheetViews>
    <sheetView showGridLines="0" tabSelected="1" zoomScale="80" zoomScaleNormal="80" workbookViewId="0">
      <selection activeCell="Q16" sqref="Q16"/>
    </sheetView>
  </sheetViews>
  <sheetFormatPr defaultColWidth="6.6640625" defaultRowHeight="15"/>
  <cols>
    <col min="1" max="1" width="3.0546875" style="1" customWidth="1"/>
    <col min="2" max="6" width="12.21875" style="1" customWidth="1"/>
    <col min="7" max="8" width="21.1640625" style="1" bestFit="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38</v>
      </c>
      <c r="D2" s="4"/>
      <c r="E2" s="4"/>
      <c r="F2" s="4"/>
      <c r="G2" s="4"/>
      <c r="H2" s="4"/>
      <c r="I2" s="4"/>
      <c r="J2" s="4"/>
    </row>
    <row r="3" spans="1:18" ht="62.25" customHeight="1">
      <c r="A3" s="3"/>
      <c r="B3" s="138" t="str">
        <f>UPPER(TEXT(DATE(カレンダーの年,12,1),"yyyy年m月"))</f>
        <v>2024年12月</v>
      </c>
      <c r="C3" s="138"/>
      <c r="D3" s="138"/>
      <c r="E3" s="138"/>
      <c r="F3" s="138"/>
      <c r="G3" s="95"/>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IF(DAY(DecSun1)=1,"",IF(AND(YEAR(DecSun1+1)=カレンダーの年,MONTH(DecSun1+1)=12),DecSun1+1,""))</f>
        <v/>
      </c>
      <c r="C5" s="10" t="str">
        <f>IF(DAY(DecSun1)=1,"",IF(AND(YEAR(DecSun1+2)=カレンダーの年,MONTH(DecSun1+2)=12),DecSun1+2,""))</f>
        <v/>
      </c>
      <c r="D5" s="10" t="str">
        <f>IF(DAY(DecSun1)=1,"",IF(AND(YEAR(DecSun1+3)=カレンダーの年,MONTH(DecSun1+3)=12),DecSun1+3,""))</f>
        <v/>
      </c>
      <c r="E5" s="10" t="str">
        <f>IF(DAY(DecSun1)=1,"",IF(AND(YEAR(DecSun1+4)=カレンダーの年,MONTH(DecSun1+4)=12),DecSun1+4,""))</f>
        <v/>
      </c>
      <c r="F5" s="10" t="str">
        <f>IF(DAY(DecSun1)=1,"",IF(AND(YEAR(DecSun1+5)=カレンダーの年,MONTH(DecSun1+5)=12),DecSun1+5,""))</f>
        <v/>
      </c>
      <c r="G5" s="10" t="str">
        <f>IF(DAY(DecSun1)=1,"",IF(AND(YEAR(DecSun1+6)=カレンダーの年,MONTH(DecSun1+6)=12),DecSun1+6,""))</f>
        <v/>
      </c>
      <c r="H5" s="10">
        <f>IF(DAY(DecSun1)=1,IF(AND(YEAR(DecSun1)=カレンダーの年,MONTH(DecSun1)=12),DecSun1,""),IF(AND(YEAR(DecSun1+7)=カレンダーの年,MONTH(DecSun1+7)=12),DecSun1+7,""))</f>
        <v>45627</v>
      </c>
      <c r="I5" s="11"/>
      <c r="K5" s="1"/>
      <c r="L5" s="1"/>
      <c r="M5" s="1"/>
      <c r="Q5" s="12"/>
      <c r="R5" s="1"/>
    </row>
    <row r="6" spans="1:18" s="12" customFormat="1" ht="64.5" customHeight="1">
      <c r="A6" s="3"/>
      <c r="B6" s="13"/>
      <c r="C6" s="13"/>
      <c r="D6" s="13"/>
      <c r="E6" s="13"/>
      <c r="F6" s="13"/>
      <c r="G6" s="14"/>
      <c r="H6" s="93" t="s">
        <v>123</v>
      </c>
      <c r="I6" s="11"/>
    </row>
    <row r="7" spans="1:18" ht="15" customHeight="1">
      <c r="A7" s="3"/>
      <c r="B7" s="15">
        <f>IF(DAY(DecSun1)=1,IF(AND(YEAR(DecSun1+1)=カレンダーの年,MONTH(DecSun1+1)=12),DecSun1+1,""),IF(AND(YEAR(DecSun1+8)=カレンダーの年,MONTH(DecSun1+8)=12),DecSun1+8,""))</f>
        <v>45628</v>
      </c>
      <c r="C7" s="15">
        <f>IF(DAY(DecSun1)=1,IF(AND(YEAR(DecSun1+2)=カレンダーの年,MONTH(DecSun1+2)=12),DecSun1+2,""),IF(AND(YEAR(DecSun1+9)=カレンダーの年,MONTH(DecSun1+9)=12),DecSun1+9,""))</f>
        <v>45629</v>
      </c>
      <c r="D7" s="15">
        <f>IF(DAY(DecSun1)=1,IF(AND(YEAR(DecSun1+3)=カレンダーの年,MONTH(DecSun1+3)=12),DecSun1+3,""),IF(AND(YEAR(DecSun1+10)=カレンダーの年,MONTH(DecSun1+10)=12),DecSun1+10,""))</f>
        <v>45630</v>
      </c>
      <c r="E7" s="15">
        <f>IF(DAY(DecSun1)=1,IF(AND(YEAR(DecSun1+4)=カレンダーの年,MONTH(DecSun1+4)=12),DecSun1+4,""),IF(AND(YEAR(DecSun1+11)=カレンダーの年,MONTH(DecSun1+11)=12),DecSun1+11,""))</f>
        <v>45631</v>
      </c>
      <c r="F7" s="15">
        <f>IF(DAY(DecSun1)=1,IF(AND(YEAR(DecSun1+5)=カレンダーの年,MONTH(DecSun1+5)=12),DecSun1+5,""),IF(AND(YEAR(DecSun1+12)=カレンダーの年,MONTH(DecSun1+12)=12),DecSun1+12,""))</f>
        <v>45632</v>
      </c>
      <c r="G7" s="15">
        <f>IF(DAY(DecSun1)=1,IF(AND(YEAR(DecSun1+6)=カレンダーの年,MONTH(DecSun1+6)=12),DecSun1+6,""),IF(AND(YEAR(DecSun1+13)=カレンダーの年,MONTH(DecSun1+13)=12),DecSun1+13,""))</f>
        <v>45633</v>
      </c>
      <c r="H7" s="15">
        <f>IF(DAY(DecSun1)=1,IF(AND(YEAR(DecSun1+7)=カレンダーの年,MONTH(DecSun1+7)=12),DecSun1+7,""),IF(AND(YEAR(DecSun1+14)=カレンダーの年,MONTH(DecSun1+14)=12),DecSun1+14,""))</f>
        <v>45634</v>
      </c>
      <c r="I7" s="11"/>
    </row>
    <row r="8" spans="1:18" ht="37.5">
      <c r="A8" s="3"/>
      <c r="B8" s="16"/>
      <c r="C8" s="16"/>
      <c r="D8" s="16"/>
      <c r="E8" s="16"/>
      <c r="F8" s="16"/>
      <c r="G8" s="94" t="s">
        <v>131</v>
      </c>
      <c r="H8" s="94" t="s">
        <v>132</v>
      </c>
      <c r="I8" s="11"/>
    </row>
    <row r="9" spans="1:18" ht="15" customHeight="1">
      <c r="A9" s="3"/>
      <c r="B9" s="18">
        <f>IF(DAY(DecSun1)=1,IF(AND(YEAR(DecSun1+8)=カレンダーの年,MONTH(DecSun1+8)=12),DecSun1+8,""),IF(AND(YEAR(DecSun1+15)=カレンダーの年,MONTH(DecSun1+15)=12),DecSun1+15,""))</f>
        <v>45635</v>
      </c>
      <c r="C9" s="18">
        <f>IF(DAY(DecSun1)=1,IF(AND(YEAR(DecSun1+9)=カレンダーの年,MONTH(DecSun1+9)=12),DecSun1+9,""),IF(AND(YEAR(DecSun1+16)=カレンダーの年,MONTH(DecSun1+16)=12),DecSun1+16,""))</f>
        <v>45636</v>
      </c>
      <c r="D9" s="18">
        <f>IF(DAY(DecSun1)=1,IF(AND(YEAR(DecSun1+10)=カレンダーの年,MONTH(DecSun1+10)=12),DecSun1+10,""),IF(AND(YEAR(DecSun1+17)=カレンダーの年,MONTH(DecSun1+17)=12),DecSun1+17,""))</f>
        <v>45637</v>
      </c>
      <c r="E9" s="18">
        <f>IF(DAY(DecSun1)=1,IF(AND(YEAR(DecSun1+11)=カレンダーの年,MONTH(DecSun1+11)=12),DecSun1+11,""),IF(AND(YEAR(DecSun1+18)=カレンダーの年,MONTH(DecSun1+18)=12),DecSun1+18,""))</f>
        <v>45638</v>
      </c>
      <c r="F9" s="18">
        <f>IF(DAY(DecSun1)=1,IF(AND(YEAR(DecSun1+12)=カレンダーの年,MONTH(DecSun1+12)=12),DecSun1+12,""),IF(AND(YEAR(DecSun1+19)=カレンダーの年,MONTH(DecSun1+19)=12),DecSun1+19,""))</f>
        <v>45639</v>
      </c>
      <c r="G9" s="18">
        <f>IF(DAY(DecSun1)=1,IF(AND(YEAR(DecSun1+13)=カレンダーの年,MONTH(DecSun1+13)=12),DecSun1+13,""),IF(AND(YEAR(DecSun1+20)=カレンダーの年,MONTH(DecSun1+20)=12),DecSun1+20,""))</f>
        <v>45640</v>
      </c>
      <c r="H9" s="18">
        <f>IF(DAY(DecSun1)=1,IF(AND(YEAR(DecSun1+14)=カレンダーの年,MONTH(DecSun1+14)=12),DecSun1+14,""),IF(AND(YEAR(DecSun1+21)=カレンダーの年,MONTH(DecSun1+21)=12),DecSun1+21,""))</f>
        <v>45641</v>
      </c>
      <c r="I9" s="11"/>
    </row>
    <row r="10" spans="1:18" ht="64.5" customHeight="1">
      <c r="A10" s="3"/>
      <c r="B10" s="13"/>
      <c r="C10" s="13"/>
      <c r="D10" s="13"/>
      <c r="E10" s="13"/>
      <c r="F10" s="13"/>
      <c r="G10" s="69" t="s">
        <v>130</v>
      </c>
      <c r="H10" s="69" t="s">
        <v>78</v>
      </c>
      <c r="I10" s="11"/>
    </row>
    <row r="11" spans="1:18" ht="15" customHeight="1">
      <c r="A11" s="3"/>
      <c r="B11" s="19">
        <f>IF(DAY(DecSun1)=1,IF(AND(YEAR(DecSun1+15)=カレンダーの年,MONTH(DecSun1+15)=12),DecSun1+15,""),IF(AND(YEAR(DecSun1+22)=カレンダーの年,MONTH(DecSun1+22)=12),DecSun1+22,""))</f>
        <v>45642</v>
      </c>
      <c r="C11" s="19">
        <f>IF(DAY(DecSun1)=1,IF(AND(YEAR(DecSun1+16)=カレンダーの年,MONTH(DecSun1+16)=12),DecSun1+16,""),IF(AND(YEAR(DecSun1+23)=カレンダーの年,MONTH(DecSun1+23)=12),DecSun1+23,""))</f>
        <v>45643</v>
      </c>
      <c r="D11" s="19">
        <f>IF(DAY(DecSun1)=1,IF(AND(YEAR(DecSun1+17)=カレンダーの年,MONTH(DecSun1+17)=12),DecSun1+17,""),IF(AND(YEAR(DecSun1+24)=カレンダーの年,MONTH(DecSun1+24)=12),DecSun1+24,""))</f>
        <v>45644</v>
      </c>
      <c r="E11" s="19">
        <f>IF(DAY(DecSun1)=1,IF(AND(YEAR(DecSun1+18)=カレンダーの年,MONTH(DecSun1+18)=12),DecSun1+18,""),IF(AND(YEAR(DecSun1+25)=カレンダーの年,MONTH(DecSun1+25)=12),DecSun1+25,""))</f>
        <v>45645</v>
      </c>
      <c r="F11" s="19">
        <f>IF(DAY(DecSun1)=1,IF(AND(YEAR(DecSun1+19)=カレンダーの年,MONTH(DecSun1+19)=12),DecSun1+19,""),IF(AND(YEAR(DecSun1+26)=カレンダーの年,MONTH(DecSun1+26)=12),DecSun1+26,""))</f>
        <v>45646</v>
      </c>
      <c r="G11" s="19">
        <f>IF(DAY(DecSun1)=1,IF(AND(YEAR(DecSun1+20)=カレンダーの年,MONTH(DecSun1+20)=12),DecSun1+20,""),IF(AND(YEAR(DecSun1+27)=カレンダーの年,MONTH(DecSun1+27)=12),DecSun1+27,""))</f>
        <v>45647</v>
      </c>
      <c r="H11" s="19">
        <f>IF(DAY(DecSun1)=1,IF(AND(YEAR(DecSun1+21)=カレンダーの年,MONTH(DecSun1+21)=12),DecSun1+21,""),IF(AND(YEAR(DecSun1+28)=カレンダーの年,MONTH(DecSun1+28)=12),DecSun1+28,""))</f>
        <v>45648</v>
      </c>
      <c r="I11" s="11"/>
    </row>
    <row r="12" spans="1:18" ht="64.5" customHeight="1">
      <c r="A12" s="3"/>
      <c r="B12" s="16"/>
      <c r="C12" s="16"/>
      <c r="D12" s="16"/>
      <c r="E12" s="16"/>
      <c r="F12" s="16"/>
      <c r="G12" s="140" t="s">
        <v>133</v>
      </c>
      <c r="H12" s="68" t="s">
        <v>134</v>
      </c>
      <c r="I12" s="11"/>
    </row>
    <row r="13" spans="1:18" ht="15" customHeight="1">
      <c r="A13" s="3"/>
      <c r="B13" s="18">
        <f>IF(DAY(DecSun1)=1,IF(AND(YEAR(DecSun1+22)=カレンダーの年,MONTH(DecSun1+22)=12),DecSun1+22,""),IF(AND(YEAR(DecSun1+29)=カレンダーの年,MONTH(DecSun1+29)=12),DecSun1+29,""))</f>
        <v>45649</v>
      </c>
      <c r="C13" s="18">
        <f>IF(DAY(DecSun1)=1,IF(AND(YEAR(DecSun1+23)=カレンダーの年,MONTH(DecSun1+23)=12),DecSun1+23,""),IF(AND(YEAR(DecSun1+30)=カレンダーの年,MONTH(DecSun1+30)=12),DecSun1+30,""))</f>
        <v>45650</v>
      </c>
      <c r="D13" s="18">
        <f>IF(DAY(DecSun1)=1,IF(AND(YEAR(DecSun1+24)=カレンダーの年,MONTH(DecSun1+24)=12),DecSun1+24,""),IF(AND(YEAR(DecSun1+31)=カレンダーの年,MONTH(DecSun1+31)=12),DecSun1+31,""))</f>
        <v>45651</v>
      </c>
      <c r="E13" s="18">
        <f>IF(DAY(DecSun1)=1,IF(AND(YEAR(DecSun1+25)=カレンダーの年,MONTH(DecSun1+25)=12),DecSun1+25,""),IF(AND(YEAR(DecSun1+32)=カレンダーの年,MONTH(DecSun1+32)=12),DecSun1+32,""))</f>
        <v>45652</v>
      </c>
      <c r="F13" s="18">
        <f>IF(DAY(DecSun1)=1,IF(AND(YEAR(DecSun1+26)=カレンダーの年,MONTH(DecSun1+26)=12),DecSun1+26,""),IF(AND(YEAR(DecSun1+33)=カレンダーの年,MONTH(DecSun1+33)=12),DecSun1+33,""))</f>
        <v>45653</v>
      </c>
      <c r="G13" s="18">
        <f>IF(DAY(DecSun1)=1,IF(AND(YEAR(DecSun1+27)=カレンダーの年,MONTH(DecSun1+27)=12),DecSun1+27,""),IF(AND(YEAR(DecSun1+34)=カレンダーの年,MONTH(DecSun1+34)=12),DecSun1+34,""))</f>
        <v>45654</v>
      </c>
      <c r="H13" s="18">
        <f>IF(DAY(DecSun1)=1,IF(AND(YEAR(DecSun1+28)=カレンダーの年,MONTH(DecSun1+28)=12),DecSun1+28,""),IF(AND(YEAR(DecSun1+35)=カレンダーの年,MONTH(DecSun1+35)=12),DecSun1+35,""))</f>
        <v>45655</v>
      </c>
      <c r="I13" s="11"/>
    </row>
    <row r="14" spans="1:18" ht="64.5" customHeight="1">
      <c r="A14" s="3"/>
      <c r="B14" s="13"/>
      <c r="C14" s="13"/>
      <c r="D14" s="13"/>
      <c r="E14" s="13"/>
      <c r="F14" s="13"/>
      <c r="G14" s="69" t="s">
        <v>129</v>
      </c>
      <c r="H14" s="69" t="s">
        <v>129</v>
      </c>
      <c r="I14" s="11"/>
    </row>
    <row r="15" spans="1:18" ht="15" customHeight="1">
      <c r="A15" s="3"/>
      <c r="B15" s="19">
        <f>IF(DAY(DecSun1)=1,IF(AND(YEAR(DecSun1+29)=カレンダーの年,MONTH(DecSun1+29)=12),DecSun1+29,""),IF(AND(YEAR(DecSun1+36)=カレンダーの年,MONTH(DecSun1+36)=12),DecSun1+36,""))</f>
        <v>45656</v>
      </c>
      <c r="C15" s="20">
        <f>IF(DAY(DecSun1)=1,IF(AND(YEAR(DecSun1+30)=カレンダーの年,MONTH(DecSun1+30)=12),DecSun1+30,""),IF(AND(YEAR(DecSun1+37)=カレンダーの年,MONTH(DecSun1+37)=12),DecSun1+37,""))</f>
        <v>45657</v>
      </c>
      <c r="D15" s="135" t="s">
        <v>8</v>
      </c>
      <c r="E15" s="136"/>
      <c r="F15" s="136"/>
      <c r="G15" s="136"/>
      <c r="H15" s="137"/>
      <c r="I15" s="11"/>
    </row>
    <row r="16" spans="1:18" ht="64.5" customHeight="1">
      <c r="A16" s="3"/>
      <c r="B16" s="16"/>
      <c r="C16" s="16"/>
      <c r="D16" s="132" t="s">
        <v>39</v>
      </c>
      <c r="E16" s="133"/>
      <c r="F16" s="133"/>
      <c r="G16" s="133"/>
      <c r="H16" s="134"/>
      <c r="I16" s="11"/>
    </row>
    <row r="17" spans="3:5" ht="2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4BC3-DE0A-42C4-AD78-7D6AC800EDF8}">
  <dimension ref="B3:C20"/>
  <sheetViews>
    <sheetView workbookViewId="0">
      <selection activeCell="C31" sqref="C31"/>
    </sheetView>
  </sheetViews>
  <sheetFormatPr defaultRowHeight="12.75"/>
  <cols>
    <col min="1" max="1" width="4.5546875" style="30" customWidth="1"/>
    <col min="2" max="2" width="18.38671875" style="30" customWidth="1"/>
    <col min="3" max="3" width="51.27734375" style="30" customWidth="1"/>
    <col min="4" max="16384" width="8.88671875" style="30"/>
  </cols>
  <sheetData>
    <row r="3" spans="2:3" ht="14.25">
      <c r="B3" s="28" t="s">
        <v>12</v>
      </c>
      <c r="C3" s="29" t="s">
        <v>13</v>
      </c>
    </row>
    <row r="4" spans="2:3">
      <c r="B4" s="31">
        <v>1</v>
      </c>
      <c r="C4" s="32" t="s">
        <v>14</v>
      </c>
    </row>
    <row r="5" spans="2:3">
      <c r="B5" s="31">
        <v>1.5</v>
      </c>
      <c r="C5" s="32" t="s">
        <v>15</v>
      </c>
    </row>
    <row r="6" spans="2:3" ht="24.4" customHeight="1">
      <c r="B6" s="31">
        <v>2</v>
      </c>
      <c r="C6" s="32" t="s">
        <v>16</v>
      </c>
    </row>
    <row r="7" spans="2:3">
      <c r="B7" s="31">
        <v>2.5</v>
      </c>
      <c r="C7" s="32" t="s">
        <v>17</v>
      </c>
    </row>
    <row r="8" spans="2:3" ht="25.9" customHeight="1">
      <c r="B8" s="31">
        <v>3</v>
      </c>
      <c r="C8" s="32" t="s">
        <v>18</v>
      </c>
    </row>
    <row r="9" spans="2:3">
      <c r="B9" s="31">
        <v>3.5</v>
      </c>
      <c r="C9" s="128" t="s">
        <v>19</v>
      </c>
    </row>
    <row r="10" spans="2:3">
      <c r="B10" s="33" t="s">
        <v>20</v>
      </c>
      <c r="C10" s="129"/>
    </row>
    <row r="11" spans="2:3">
      <c r="B11" s="31">
        <v>4</v>
      </c>
      <c r="C11" s="128" t="s">
        <v>21</v>
      </c>
    </row>
    <row r="12" spans="2:3">
      <c r="B12" s="33" t="s">
        <v>22</v>
      </c>
      <c r="C12" s="129"/>
    </row>
    <row r="13" spans="2:3">
      <c r="B13" s="31">
        <v>4.5</v>
      </c>
      <c r="C13" s="128" t="s">
        <v>23</v>
      </c>
    </row>
    <row r="14" spans="2:3" ht="25.5">
      <c r="B14" s="33" t="s">
        <v>24</v>
      </c>
      <c r="C14" s="129"/>
    </row>
    <row r="15" spans="2:3">
      <c r="B15" s="130">
        <v>5</v>
      </c>
      <c r="C15" s="128" t="s">
        <v>25</v>
      </c>
    </row>
    <row r="16" spans="2:3">
      <c r="B16" s="131"/>
      <c r="C16" s="129"/>
    </row>
    <row r="17" spans="2:3">
      <c r="B17" s="31">
        <v>5.5</v>
      </c>
      <c r="C17" s="32" t="s">
        <v>26</v>
      </c>
    </row>
    <row r="18" spans="2:3">
      <c r="B18" s="31">
        <v>6</v>
      </c>
      <c r="C18" s="32" t="s">
        <v>27</v>
      </c>
    </row>
    <row r="19" spans="2:3">
      <c r="B19" s="31">
        <v>6.5</v>
      </c>
      <c r="C19" s="32" t="s">
        <v>28</v>
      </c>
    </row>
    <row r="20" spans="2:3">
      <c r="B20" s="31">
        <v>7</v>
      </c>
      <c r="C20" s="32" t="s">
        <v>29</v>
      </c>
    </row>
  </sheetData>
  <mergeCells count="5">
    <mergeCell ref="C9:C10"/>
    <mergeCell ref="C11:C12"/>
    <mergeCell ref="C13:C14"/>
    <mergeCell ref="B15:B16"/>
    <mergeCell ref="C15:C16"/>
  </mergeCells>
  <phoneticPr fontId="6"/>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A1:R20"/>
  <sheetViews>
    <sheetView showGridLines="0" zoomScale="80" zoomScaleNormal="80" workbookViewId="0">
      <selection activeCell="L8" sqref="L8"/>
    </sheetView>
  </sheetViews>
  <sheetFormatPr defaultColWidth="6.6640625" defaultRowHeight="15"/>
  <cols>
    <col min="1" max="1" width="3.0546875" style="1" customWidth="1"/>
    <col min="2" max="6" width="10.6640625" style="1" customWidth="1"/>
    <col min="7" max="8" width="20.71875" style="1" customWidth="1"/>
    <col min="9" max="9" width="13.77734375" style="1" customWidth="1"/>
    <col min="10" max="10" width="12.6640625" style="1" customWidth="1"/>
    <col min="11" max="11" width="12.44140625" style="1" customWidth="1"/>
    <col min="12" max="12" width="11.77734375" style="1" customWidth="1"/>
    <col min="13" max="13" width="11.27734375" style="1" customWidth="1"/>
    <col min="14" max="16384" width="6.6640625" style="1"/>
  </cols>
  <sheetData>
    <row r="1" spans="1:18" ht="14.25" customHeight="1">
      <c r="K1" s="2" t="s">
        <v>7</v>
      </c>
    </row>
    <row r="2" spans="1:18" ht="30" customHeight="1">
      <c r="A2" s="3"/>
      <c r="B2" s="24" t="s">
        <v>33</v>
      </c>
      <c r="C2" s="24" t="s">
        <v>38</v>
      </c>
      <c r="D2" s="4"/>
      <c r="E2" s="4"/>
      <c r="F2" s="4"/>
      <c r="G2" s="4"/>
      <c r="H2" s="4"/>
      <c r="I2" s="4"/>
      <c r="J2" s="4"/>
      <c r="K2" s="5">
        <v>2024</v>
      </c>
    </row>
    <row r="3" spans="1:18" ht="62.25" customHeight="1">
      <c r="A3" s="3"/>
      <c r="B3" s="138" t="str">
        <f>UPPER(TEXT(DATE(カレンダーの年,1,1),"yyyy年m月"))</f>
        <v>2024年1月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f>IF(DAY(JanSun1)=1,"",IF(AND(YEAR(JanSun1+1)=カレンダーの年,MONTH(JanSun1+1)=1),JanSun1+1,""))</f>
        <v>45292</v>
      </c>
      <c r="C5" s="10">
        <f>IF(DAY(JanSun1)=1,"",IF(AND(YEAR(JanSun1+2)=カレンダーの年,MONTH(JanSun1+2)=1),JanSun1+2,""))</f>
        <v>45293</v>
      </c>
      <c r="D5" s="10">
        <f>IF(DAY(JanSun1)=1,"",IF(AND(YEAR(JanSun1+3)=カレンダーの年,MONTH(JanSun1+3)=1),JanSun1+3,""))</f>
        <v>45294</v>
      </c>
      <c r="E5" s="10">
        <f>IF(DAY(JanSun1)=1,"",IF(AND(YEAR(JanSun1+4)=カレンダーの年,MONTH(JanSun1+4)=1),JanSun1+4,""))</f>
        <v>45295</v>
      </c>
      <c r="F5" s="10">
        <f>IF(DAY(JanSun1)=1,"",IF(AND(YEAR(JanSun1+5)=カレンダーの年,MONTH(JanSun1+5)=1),JanSun1+5,""))</f>
        <v>45296</v>
      </c>
      <c r="G5" s="10">
        <f>IF(DAY(JanSun1)=1,"",IF(AND(YEAR(JanSun1+6)=カレンダーの年,MONTH(JanSun1+6)=1),JanSun1+6,""))</f>
        <v>45297</v>
      </c>
      <c r="H5" s="10">
        <f>IF(DAY(JanSun1)=1,IF(AND(YEAR(JanSun1)=カレンダーの年,MONTH(JanSun1)=1),JanSun1,""),IF(AND(YEAR(JanSun1+7)=カレンダーの年,MONTH(JanSun1+7)=1),JanSun1+7,""))</f>
        <v>45298</v>
      </c>
      <c r="I5" s="11"/>
      <c r="K5" s="1"/>
      <c r="L5" s="1"/>
      <c r="M5" s="1"/>
      <c r="Q5" s="12"/>
      <c r="R5" s="1"/>
    </row>
    <row r="6" spans="1:18" s="12" customFormat="1" ht="33">
      <c r="A6" s="3"/>
      <c r="B6" s="13"/>
      <c r="C6" s="13"/>
      <c r="D6" s="13"/>
      <c r="E6" s="13"/>
      <c r="F6" s="13"/>
      <c r="G6" s="14"/>
      <c r="H6" s="36" t="s">
        <v>81</v>
      </c>
      <c r="I6" s="11"/>
    </row>
    <row r="7" spans="1:18" ht="15" customHeight="1">
      <c r="A7" s="3"/>
      <c r="B7" s="15">
        <f>IF(DAY(JanSun1)=1,IF(AND(YEAR(JanSun1+1)=カレンダーの年,MONTH(JanSun1+1)=1),JanSun1+1,""),IF(AND(YEAR(JanSun1+8)=カレンダーの年,MONTH(JanSun1+8)=1),JanSun1+8,""))</f>
        <v>45299</v>
      </c>
      <c r="C7" s="15">
        <f>IF(DAY(JanSun1)=1,IF(AND(YEAR(JanSun1+2)=カレンダーの年,MONTH(JanSun1+2)=1),JanSun1+2,""),IF(AND(YEAR(JanSun1+9)=カレンダーの年,MONTH(JanSun1+9)=1),JanSun1+9,""))</f>
        <v>45300</v>
      </c>
      <c r="D7" s="15">
        <f>IF(DAY(JanSun1)=1,IF(AND(YEAR(JanSun1+3)=カレンダーの年,MONTH(JanSun1+3)=1),JanSun1+3,""),IF(AND(YEAR(JanSun1+10)=カレンダーの年,MONTH(JanSun1+10)=1),JanSun1+10,""))</f>
        <v>45301</v>
      </c>
      <c r="E7" s="15">
        <f>IF(DAY(JanSun1)=1,IF(AND(YEAR(JanSun1+4)=カレンダーの年,MONTH(JanSun1+4)=1),JanSun1+4,""),IF(AND(YEAR(JanSun1+11)=カレンダーの年,MONTH(JanSun1+11)=1),JanSun1+11,""))</f>
        <v>45302</v>
      </c>
      <c r="F7" s="15">
        <f>IF(DAY(JanSun1)=1,IF(AND(YEAR(JanSun1+5)=カレンダーの年,MONTH(JanSun1+5)=1),JanSun1+5,""),IF(AND(YEAR(JanSun1+12)=カレンダーの年,MONTH(JanSun1+12)=1),JanSun1+12,""))</f>
        <v>45303</v>
      </c>
      <c r="G7" s="15">
        <f>IF(DAY(JanSun1)=1,IF(AND(YEAR(JanSun1+6)=カレンダーの年,MONTH(JanSun1+6)=1),JanSun1+6,""),IF(AND(YEAR(JanSun1+13)=カレンダーの年,MONTH(JanSun1+13)=1),JanSun1+13,""))</f>
        <v>45304</v>
      </c>
      <c r="H7" s="15">
        <f>IF(DAY(JanSun1)=1,IF(AND(YEAR(JanSun1+7)=カレンダーの年,MONTH(JanSun1+7)=1),JanSun1+7,""),IF(AND(YEAR(JanSun1+14)=カレンダーの年,MONTH(JanSun1+14)=1),JanSun1+14,""))</f>
        <v>45305</v>
      </c>
      <c r="I7" s="11"/>
    </row>
    <row r="8" spans="1:18" ht="66.75">
      <c r="A8" s="3"/>
      <c r="B8" s="16"/>
      <c r="C8" s="16"/>
      <c r="D8" s="16"/>
      <c r="E8" s="16"/>
      <c r="F8" s="16"/>
      <c r="G8" s="34"/>
      <c r="H8" s="35" t="s">
        <v>80</v>
      </c>
      <c r="I8" s="11"/>
    </row>
    <row r="9" spans="1:18" ht="15" customHeight="1">
      <c r="A9" s="3"/>
      <c r="B9" s="18">
        <f>IF(DAY(JanSun1)=1,IF(AND(YEAR(JanSun1+8)=カレンダーの年,MONTH(JanSun1+8)=1),JanSun1+8,""),IF(AND(YEAR(JanSun1+15)=カレンダーの年,MONTH(JanSun1+15)=1),JanSun1+15,""))</f>
        <v>45306</v>
      </c>
      <c r="C9" s="18">
        <f>IF(DAY(JanSun1)=1,IF(AND(YEAR(JanSun1+9)=カレンダーの年,MONTH(JanSun1+9)=1),JanSun1+9,""),IF(AND(YEAR(JanSun1+16)=カレンダーの年,MONTH(JanSun1+16)=1),JanSun1+16,""))</f>
        <v>45307</v>
      </c>
      <c r="D9" s="18">
        <f>IF(DAY(JanSun1)=1,IF(AND(YEAR(JanSun1+10)=カレンダーの年,MONTH(JanSun1+10)=1),JanSun1+10,""),IF(AND(YEAR(JanSun1+17)=カレンダーの年,MONTH(JanSun1+17)=1),JanSun1+17,""))</f>
        <v>45308</v>
      </c>
      <c r="E9" s="18">
        <f>IF(DAY(JanSun1)=1,IF(AND(YEAR(JanSun1+11)=カレンダーの年,MONTH(JanSun1+11)=1),JanSun1+11,""),IF(AND(YEAR(JanSun1+18)=カレンダーの年,MONTH(JanSun1+18)=1),JanSun1+18,""))</f>
        <v>45309</v>
      </c>
      <c r="F9" s="18">
        <f>IF(DAY(JanSun1)=1,IF(AND(YEAR(JanSun1+12)=カレンダーの年,MONTH(JanSun1+12)=1),JanSun1+12,""),IF(AND(YEAR(JanSun1+19)=カレンダーの年,MONTH(JanSun1+19)=1),JanSun1+19,""))</f>
        <v>45310</v>
      </c>
      <c r="G9" s="18">
        <f>IF(DAY(JanSun1)=1,IF(AND(YEAR(JanSun1+13)=カレンダーの年,MONTH(JanSun1+13)=1),JanSun1+13,""),IF(AND(YEAR(JanSun1+20)=カレンダーの年,MONTH(JanSun1+20)=1),JanSun1+20,""))</f>
        <v>45311</v>
      </c>
      <c r="H9" s="18">
        <f>IF(DAY(JanSun1)=1,IF(AND(YEAR(JanSun1+14)=カレンダーの年,MONTH(JanSun1+14)=1),JanSun1+14,""),IF(AND(YEAR(JanSun1+21)=カレンダーの年,MONTH(JanSun1+21)=1),JanSun1+21,""))</f>
        <v>45312</v>
      </c>
      <c r="I9" s="11"/>
    </row>
    <row r="10" spans="1:18" ht="66.75">
      <c r="A10" s="3"/>
      <c r="B10" s="13"/>
      <c r="C10" s="13"/>
      <c r="D10" s="13"/>
      <c r="E10" s="13"/>
      <c r="F10" s="13"/>
      <c r="G10" s="14"/>
      <c r="H10" s="36" t="s">
        <v>80</v>
      </c>
      <c r="I10" s="11"/>
    </row>
    <row r="11" spans="1:18" ht="15" customHeight="1">
      <c r="A11" s="3"/>
      <c r="B11" s="19">
        <f>IF(DAY(JanSun1)=1,IF(AND(YEAR(JanSun1+15)=カレンダーの年,MONTH(JanSun1+15)=1),JanSun1+15,""),IF(AND(YEAR(JanSun1+22)=カレンダーの年,MONTH(JanSun1+22)=1),JanSun1+22,""))</f>
        <v>45313</v>
      </c>
      <c r="C11" s="19">
        <f>IF(DAY(JanSun1)=1,IF(AND(YEAR(JanSun1+16)=カレンダーの年,MONTH(JanSun1+16)=1),JanSun1+16,""),IF(AND(YEAR(JanSun1+23)=カレンダーの年,MONTH(JanSun1+23)=1),JanSun1+23,""))</f>
        <v>45314</v>
      </c>
      <c r="D11" s="19">
        <f>IF(DAY(JanSun1)=1,IF(AND(YEAR(JanSun1+17)=カレンダーの年,MONTH(JanSun1+17)=1),JanSun1+17,""),IF(AND(YEAR(JanSun1+24)=カレンダーの年,MONTH(JanSun1+24)=1),JanSun1+24,""))</f>
        <v>45315</v>
      </c>
      <c r="E11" s="19">
        <f>IF(DAY(JanSun1)=1,IF(AND(YEAR(JanSun1+18)=カレンダーの年,MONTH(JanSun1+18)=1),JanSun1+18,""),IF(AND(YEAR(JanSun1+25)=カレンダーの年,MONTH(JanSun1+25)=1),JanSun1+25,""))</f>
        <v>45316</v>
      </c>
      <c r="F11" s="19">
        <f>IF(DAY(JanSun1)=1,IF(AND(YEAR(JanSun1+19)=カレンダーの年,MONTH(JanSun1+19)=1),JanSun1+19,""),IF(AND(YEAR(JanSun1+26)=カレンダーの年,MONTH(JanSun1+26)=1),JanSun1+26,""))</f>
        <v>45317</v>
      </c>
      <c r="G11" s="19">
        <f>IF(DAY(JanSun1)=1,IF(AND(YEAR(JanSun1+20)=カレンダーの年,MONTH(JanSun1+20)=1),JanSun1+20,""),IF(AND(YEAR(JanSun1+27)=カレンダーの年,MONTH(JanSun1+27)=1),JanSun1+27,""))</f>
        <v>45318</v>
      </c>
      <c r="H11" s="19">
        <f>IF(DAY(JanSun1)=1,IF(AND(YEAR(JanSun1+21)=カレンダーの年,MONTH(JanSun1+21)=1),JanSun1+21,""),IF(AND(YEAR(JanSun1+28)=カレンダーの年,MONTH(JanSun1+28)=1),JanSun1+28,""))</f>
        <v>45319</v>
      </c>
      <c r="I11" s="11"/>
    </row>
    <row r="12" spans="1:18" ht="66.75">
      <c r="A12" s="3"/>
      <c r="B12" s="16"/>
      <c r="C12" s="16"/>
      <c r="D12" s="16"/>
      <c r="E12" s="16"/>
      <c r="F12" s="16"/>
      <c r="G12" s="17"/>
      <c r="H12" s="17" t="s">
        <v>80</v>
      </c>
      <c r="I12" s="11"/>
    </row>
    <row r="13" spans="1:18" ht="15" customHeight="1">
      <c r="A13" s="3"/>
      <c r="B13" s="18">
        <f>IF(DAY(JanSun1)=1,IF(AND(YEAR(JanSun1+22)=カレンダーの年,MONTH(JanSun1+22)=1),JanSun1+22,""),IF(AND(YEAR(JanSun1+29)=カレンダーの年,MONTH(JanSun1+29)=1),JanSun1+29,""))</f>
        <v>45320</v>
      </c>
      <c r="C13" s="18">
        <f>IF(DAY(JanSun1)=1,IF(AND(YEAR(JanSun1+23)=カレンダーの年,MONTH(JanSun1+23)=1),JanSun1+23,""),IF(AND(YEAR(JanSun1+30)=カレンダーの年,MONTH(JanSun1+30)=1),JanSun1+30,""))</f>
        <v>45321</v>
      </c>
      <c r="D13" s="18">
        <f>IF(DAY(JanSun1)=1,IF(AND(YEAR(JanSun1+24)=カレンダーの年,MONTH(JanSun1+24)=1),JanSun1+24,""),IF(AND(YEAR(JanSun1+31)=カレンダーの年,MONTH(JanSun1+31)=1),JanSun1+31,""))</f>
        <v>45322</v>
      </c>
      <c r="E13" s="18" t="str">
        <f>IF(DAY(JanSun1)=1,IF(AND(YEAR(JanSun1+25)=カレンダーの年,MONTH(JanSun1+25)=1),JanSun1+25,""),IF(AND(YEAR(JanSun1+32)=カレンダーの年,MONTH(JanSun1+32)=1),JanSun1+32,""))</f>
        <v/>
      </c>
      <c r="F13" s="18" t="str">
        <f>IF(DAY(JanSun1)=1,IF(AND(YEAR(JanSun1+26)=カレンダーの年,MONTH(JanSun1+26)=1),JanSun1+26,""),IF(AND(YEAR(JanSun1+33)=カレンダーの年,MONTH(JanSun1+33)=1),JanSun1+33,""))</f>
        <v/>
      </c>
      <c r="G13" s="18" t="str">
        <f>IF(DAY(JanSun1)=1,IF(AND(YEAR(JanSun1+27)=カレンダーの年,MONTH(JanSun1+27)=1),JanSun1+27,""),IF(AND(YEAR(JanSun1+34)=カレンダーの年,MONTH(JanSun1+34)=1),JanSun1+34,""))</f>
        <v/>
      </c>
      <c r="H13" s="18" t="str">
        <f>IF(DAY(JanSun1)=1,IF(AND(YEAR(JanSun1+28)=カレンダーの年,MONTH(JanSun1+28)=1),JanSun1+28,""),IF(AND(YEAR(JanSun1+35)=カレンダーの年,MONTH(JanSun1+35)=1),JanSun1+35,""))</f>
        <v/>
      </c>
      <c r="I13" s="11"/>
    </row>
    <row r="14" spans="1:18" ht="16.5">
      <c r="A14" s="3"/>
      <c r="B14" s="13"/>
      <c r="C14" s="13"/>
      <c r="D14" s="13"/>
      <c r="E14" s="13"/>
      <c r="F14" s="13"/>
      <c r="G14" s="14"/>
      <c r="H14" s="14"/>
      <c r="I14" s="11"/>
    </row>
    <row r="15" spans="1:18" ht="15" customHeight="1">
      <c r="A15" s="3"/>
      <c r="B15" s="19" t="str">
        <f>IF(DAY(JanSun1)=1,IF(AND(YEAR(JanSun1+29)=カレンダーの年,MONTH(JanSun1+29)=1),JanSun1+29,""),IF(AND(YEAR(JanSun1+36)=カレンダーの年,MONTH(JanSun1+36)=1),JanSun1+36,""))</f>
        <v/>
      </c>
      <c r="C15" s="20" t="str">
        <f>IF(DAY(JanSun1)=1,IF(AND(YEAR(JanSun1+30)=カレンダーの年,MONTH(JanSun1+30)=1),JanSun1+30,""),IF(AND(YEAR(JanSun1+37)=カレンダーの年,MONTH(JanSun1+37)=1),JanSun1+37,""))</f>
        <v/>
      </c>
      <c r="D15" s="135" t="s">
        <v>8</v>
      </c>
      <c r="E15" s="136"/>
      <c r="F15" s="136"/>
      <c r="G15" s="136"/>
      <c r="H15" s="137"/>
      <c r="I15" s="11"/>
    </row>
    <row r="16" spans="1:18" ht="64.5" customHeight="1">
      <c r="A16" s="3"/>
      <c r="B16" s="16"/>
      <c r="C16" s="16"/>
      <c r="D16" s="132" t="s">
        <v>39</v>
      </c>
      <c r="E16" s="133"/>
      <c r="F16" s="133"/>
      <c r="G16" s="133"/>
      <c r="H16" s="134"/>
      <c r="I16" s="11"/>
    </row>
    <row r="17" spans="3:5" ht="17.25" customHeight="1"/>
    <row r="19" spans="3:5" ht="21" customHeight="1">
      <c r="C19" s="21"/>
      <c r="D19" s="22"/>
      <c r="E19" s="23"/>
    </row>
    <row r="20" spans="3:5" ht="19.5" customHeight="1"/>
  </sheetData>
  <mergeCells count="3">
    <mergeCell ref="D16:H16"/>
    <mergeCell ref="D15:H15"/>
    <mergeCell ref="B3:F3"/>
  </mergeCells>
  <phoneticPr fontId="6"/>
  <printOptions horizontalCentered="1" verticalCentered="1"/>
  <pageMargins left="0.2" right="0.2" top="0.25" bottom="0.25" header="0" footer="0"/>
  <pageSetup scale="93" orientation="landscape" r:id="rId1"/>
  <headerFooter scaleWithDoc="0" alignWithMargins="0"/>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6" r:id="rId5" name="スピン ボタン 2">
              <controlPr defaultSize="0" autoPict="0" altText="スピン コントロールです。スピン ボタンを使用して、カレンダーの年を変更するか、セル L2 に適切な年を入力します。">
                <anchor moveWithCells="1">
                  <from>
                    <xdr:col>10</xdr:col>
                    <xdr:colOff>1047750</xdr:colOff>
                    <xdr:row>1</xdr:row>
                    <xdr:rowOff>90488</xdr:rowOff>
                  </from>
                  <to>
                    <xdr:col>11</xdr:col>
                    <xdr:colOff>114300</xdr:colOff>
                    <xdr:row>1</xdr:row>
                    <xdr:rowOff>319088</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34998626667073579"/>
    <pageSetUpPr fitToPage="1"/>
  </sheetPr>
  <dimension ref="A1:R20"/>
  <sheetViews>
    <sheetView showGridLines="0" zoomScale="80" zoomScaleNormal="80" workbookViewId="0">
      <selection activeCell="O10" sqref="O10"/>
    </sheetView>
  </sheetViews>
  <sheetFormatPr defaultColWidth="6.6640625" defaultRowHeight="15"/>
  <cols>
    <col min="1" max="1" width="3.0546875" style="1" customWidth="1"/>
    <col min="2" max="6" width="11.21875" style="1" customWidth="1"/>
    <col min="7" max="8" width="21.0546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38</v>
      </c>
      <c r="D2" s="4"/>
      <c r="E2" s="4"/>
      <c r="F2" s="4"/>
      <c r="G2" s="4"/>
      <c r="H2" s="4"/>
      <c r="I2" s="4"/>
      <c r="J2" s="4"/>
    </row>
    <row r="3" spans="1:18" ht="62.25" customHeight="1">
      <c r="A3" s="3"/>
      <c r="B3" s="138" t="str">
        <f>UPPER(TEXT(DATE(カレンダーの年,2,1),"yyyy年m月"))</f>
        <v>2024年2月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IF(DAY(FebSun1)=1,"",IF(AND(YEAR(FebSun1+1)=カレンダーの年,MONTH(FebSun1+1)=2),FebSun1+1,""))</f>
        <v/>
      </c>
      <c r="C5" s="10" t="str">
        <f>IF(DAY(FebSun1)=1,"",IF(AND(YEAR(FebSun1+2)=カレンダーの年,MONTH(FebSun1+2)=2),FebSun1+2,""))</f>
        <v/>
      </c>
      <c r="D5" s="10" t="str">
        <f>IF(DAY(FebSun1)=1,"",IF(AND(YEAR(FebSun1+3)=カレンダーの年,MONTH(FebSun1+3)=2),FebSun1+3,""))</f>
        <v/>
      </c>
      <c r="E5" s="10">
        <f>IF(DAY(FebSun1)=1,"",IF(AND(YEAR(FebSun1+4)=カレンダーの年,MONTH(FebSun1+4)=2),FebSun1+4,""))</f>
        <v>45323</v>
      </c>
      <c r="F5" s="10">
        <f>IF(DAY(FebSun1)=1,"",IF(AND(YEAR(FebSun1+5)=カレンダーの年,MONTH(FebSun1+5)=2),FebSun1+5,""))</f>
        <v>45324</v>
      </c>
      <c r="G5" s="10">
        <f>IF(DAY(FebSun1)=1,"",IF(AND(YEAR(FebSun1+6)=カレンダーの年,MONTH(FebSun1+6)=2),FebSun1+6,""))</f>
        <v>45325</v>
      </c>
      <c r="H5" s="10">
        <f>IF(DAY(FebSun1)=1,IF(AND(YEAR(FebSun1)=カレンダーの年,MONTH(FebSun1)=2),FebSun1,""),IF(AND(YEAR(FebSun1+7)=カレンダーの年,MONTH(FebSun1+7)=2),FebSun1+7,""))</f>
        <v>45326</v>
      </c>
      <c r="I5" s="11"/>
      <c r="K5" s="1"/>
      <c r="L5" s="1"/>
      <c r="M5" s="1"/>
      <c r="Q5" s="12"/>
      <c r="R5" s="1"/>
    </row>
    <row r="6" spans="1:18" s="12" customFormat="1" ht="64.5" customHeight="1">
      <c r="A6" s="3"/>
      <c r="B6" s="13"/>
      <c r="C6" s="13"/>
      <c r="D6" s="13"/>
      <c r="E6" s="13"/>
      <c r="F6" s="13"/>
      <c r="G6" s="25"/>
      <c r="H6" s="72" t="s">
        <v>82</v>
      </c>
      <c r="I6" s="11"/>
    </row>
    <row r="7" spans="1:18" ht="15" customHeight="1">
      <c r="A7" s="3"/>
      <c r="B7" s="15">
        <f>IF(DAY(FebSun1)=1,IF(AND(YEAR(FebSun1+1)=カレンダーの年,MONTH(FebSun1+1)=2),FebSun1+1,""),IF(AND(YEAR(FebSun1+8)=カレンダーの年,MONTH(FebSun1+8)=2),FebSun1+8,""))</f>
        <v>45327</v>
      </c>
      <c r="C7" s="15">
        <f>IF(DAY(FebSun1)=1,IF(AND(YEAR(FebSun1+2)=カレンダーの年,MONTH(FebSun1+2)=2),FebSun1+2,""),IF(AND(YEAR(FebSun1+9)=カレンダーの年,MONTH(FebSun1+9)=2),FebSun1+9,""))</f>
        <v>45328</v>
      </c>
      <c r="D7" s="15">
        <f>IF(DAY(FebSun1)=1,IF(AND(YEAR(FebSun1+3)=カレンダーの年,MONTH(FebSun1+3)=2),FebSun1+3,""),IF(AND(YEAR(FebSun1+10)=カレンダーの年,MONTH(FebSun1+10)=2),FebSun1+10,""))</f>
        <v>45329</v>
      </c>
      <c r="E7" s="15">
        <f>IF(DAY(FebSun1)=1,IF(AND(YEAR(FebSun1+4)=カレンダーの年,MONTH(FebSun1+4)=2),FebSun1+4,""),IF(AND(YEAR(FebSun1+11)=カレンダーの年,MONTH(FebSun1+11)=2),FebSun1+11,""))</f>
        <v>45330</v>
      </c>
      <c r="F7" s="15">
        <f>IF(DAY(FebSun1)=1,IF(AND(YEAR(FebSun1+5)=カレンダーの年,MONTH(FebSun1+5)=2),FebSun1+5,""),IF(AND(YEAR(FebSun1+12)=カレンダーの年,MONTH(FebSun1+12)=2),FebSun1+12,""))</f>
        <v>45331</v>
      </c>
      <c r="G7" s="15">
        <f>IF(DAY(FebSun1)=1,IF(AND(YEAR(FebSun1+6)=カレンダーの年,MONTH(FebSun1+6)=2),FebSun1+6,""),IF(AND(YEAR(FebSun1+13)=カレンダーの年,MONTH(FebSun1+13)=2),FebSun1+13,""))</f>
        <v>45332</v>
      </c>
      <c r="H7" s="15">
        <f>IF(DAY(FebSun1)=1,IF(AND(YEAR(FebSun1+7)=カレンダーの年,MONTH(FebSun1+7)=2),FebSun1+7,""),IF(AND(YEAR(FebSun1+14)=カレンダーの年,MONTH(FebSun1+14)=2),FebSun1+14,""))</f>
        <v>45333</v>
      </c>
      <c r="I7" s="11"/>
    </row>
    <row r="8" spans="1:18" ht="71.349999999999994" customHeight="1">
      <c r="A8" s="3"/>
      <c r="B8" s="16"/>
      <c r="C8" s="16"/>
      <c r="D8" s="16"/>
      <c r="E8" s="16"/>
      <c r="F8" s="16"/>
      <c r="G8" s="73" t="s">
        <v>83</v>
      </c>
      <c r="H8" s="72" t="s">
        <v>82</v>
      </c>
      <c r="I8" s="11"/>
    </row>
    <row r="9" spans="1:18" ht="15" customHeight="1">
      <c r="A9" s="3"/>
      <c r="B9" s="18">
        <f>IF(DAY(FebSun1)=1,IF(AND(YEAR(FebSun1+8)=カレンダーの年,MONTH(FebSun1+8)=2),FebSun1+8,""),IF(AND(YEAR(FebSun1+15)=カレンダーの年,MONTH(FebSun1+15)=2),FebSun1+15,""))</f>
        <v>45334</v>
      </c>
      <c r="C9" s="18">
        <f>IF(DAY(FebSun1)=1,IF(AND(YEAR(FebSun1+9)=カレンダーの年,MONTH(FebSun1+9)=2),FebSun1+9,""),IF(AND(YEAR(FebSun1+16)=カレンダーの年,MONTH(FebSun1+16)=2),FebSun1+16,""))</f>
        <v>45335</v>
      </c>
      <c r="D9" s="18">
        <f>IF(DAY(FebSun1)=1,IF(AND(YEAR(FebSun1+10)=カレンダーの年,MONTH(FebSun1+10)=2),FebSun1+10,""),IF(AND(YEAR(FebSun1+17)=カレンダーの年,MONTH(FebSun1+17)=2),FebSun1+17,""))</f>
        <v>45336</v>
      </c>
      <c r="E9" s="18">
        <f>IF(DAY(FebSun1)=1,IF(AND(YEAR(FebSun1+11)=カレンダーの年,MONTH(FebSun1+11)=2),FebSun1+11,""),IF(AND(YEAR(FebSun1+18)=カレンダーの年,MONTH(FebSun1+18)=2),FebSun1+18,""))</f>
        <v>45337</v>
      </c>
      <c r="F9" s="18">
        <f>IF(DAY(FebSun1)=1,IF(AND(YEAR(FebSun1+12)=カレンダーの年,MONTH(FebSun1+12)=2),FebSun1+12,""),IF(AND(YEAR(FebSun1+19)=カレンダーの年,MONTH(FebSun1+19)=2),FebSun1+19,""))</f>
        <v>45338</v>
      </c>
      <c r="G9" s="18">
        <f>IF(DAY(FebSun1)=1,IF(AND(YEAR(FebSun1+13)=カレンダーの年,MONTH(FebSun1+13)=2),FebSun1+13,""),IF(AND(YEAR(FebSun1+20)=カレンダーの年,MONTH(FebSun1+20)=2),FebSun1+20,""))</f>
        <v>45339</v>
      </c>
      <c r="H9" s="18">
        <f>IF(DAY(FebSun1)=1,IF(AND(YEAR(FebSun1+14)=カレンダーの年,MONTH(FebSun1+14)=2),FebSun1+14,""),IF(AND(YEAR(FebSun1+21)=カレンダーの年,MONTH(FebSun1+21)=2),FebSun1+21,""))</f>
        <v>45340</v>
      </c>
      <c r="I9" s="11"/>
    </row>
    <row r="10" spans="1:18" ht="64.5" customHeight="1">
      <c r="A10" s="3"/>
      <c r="B10" s="13"/>
      <c r="C10" s="13"/>
      <c r="D10" s="13"/>
      <c r="E10" s="13"/>
      <c r="F10" s="13"/>
      <c r="G10" s="61"/>
      <c r="H10" s="14"/>
      <c r="I10" s="11"/>
    </row>
    <row r="11" spans="1:18" ht="15" customHeight="1">
      <c r="A11" s="3"/>
      <c r="B11" s="19">
        <f>IF(DAY(FebSun1)=1,IF(AND(YEAR(FebSun1+15)=カレンダーの年,MONTH(FebSun1+15)=2),FebSun1+15,""),IF(AND(YEAR(FebSun1+22)=カレンダーの年,MONTH(FebSun1+22)=2),FebSun1+22,""))</f>
        <v>45341</v>
      </c>
      <c r="C11" s="19">
        <f>IF(DAY(FebSun1)=1,IF(AND(YEAR(FebSun1+16)=カレンダーの年,MONTH(FebSun1+16)=2),FebSun1+16,""),IF(AND(YEAR(FebSun1+23)=カレンダーの年,MONTH(FebSun1+23)=2),FebSun1+23,""))</f>
        <v>45342</v>
      </c>
      <c r="D11" s="19">
        <f>IF(DAY(FebSun1)=1,IF(AND(YEAR(FebSun1+17)=カレンダーの年,MONTH(FebSun1+17)=2),FebSun1+17,""),IF(AND(YEAR(FebSun1+24)=カレンダーの年,MONTH(FebSun1+24)=2),FebSun1+24,""))</f>
        <v>45343</v>
      </c>
      <c r="E11" s="19">
        <f>IF(DAY(FebSun1)=1,IF(AND(YEAR(FebSun1+18)=カレンダーの年,MONTH(FebSun1+18)=2),FebSun1+18,""),IF(AND(YEAR(FebSun1+25)=カレンダーの年,MONTH(FebSun1+25)=2),FebSun1+25,""))</f>
        <v>45344</v>
      </c>
      <c r="F11" s="19">
        <f>IF(DAY(FebSun1)=1,IF(AND(YEAR(FebSun1+19)=カレンダーの年,MONTH(FebSun1+19)=2),FebSun1+19,""),IF(AND(YEAR(FebSun1+26)=カレンダーの年,MONTH(FebSun1+26)=2),FebSun1+26,""))</f>
        <v>45345</v>
      </c>
      <c r="G11" s="19">
        <f>IF(DAY(FebSun1)=1,IF(AND(YEAR(FebSun1+20)=カレンダーの年,MONTH(FebSun1+20)=2),FebSun1+20,""),IF(AND(YEAR(FebSun1+27)=カレンダーの年,MONTH(FebSun1+27)=2),FebSun1+27,""))</f>
        <v>45346</v>
      </c>
      <c r="H11" s="19">
        <f>IF(DAY(FebSun1)=1,IF(AND(YEAR(FebSun1+21)=カレンダーの年,MONTH(FebSun1+21)=2),FebSun1+21,""),IF(AND(YEAR(FebSun1+28)=カレンダーの年,MONTH(FebSun1+28)=2),FebSun1+28,""))</f>
        <v>45347</v>
      </c>
      <c r="I11" s="11"/>
    </row>
    <row r="12" spans="1:18" ht="64.5" customHeight="1">
      <c r="A12" s="3"/>
      <c r="B12" s="16"/>
      <c r="C12" s="16"/>
      <c r="D12" s="16"/>
      <c r="E12" s="16"/>
      <c r="F12" s="16"/>
      <c r="G12" s="73" t="s">
        <v>83</v>
      </c>
      <c r="H12" s="72" t="s">
        <v>82</v>
      </c>
      <c r="I12" s="11"/>
    </row>
    <row r="13" spans="1:18" ht="15" customHeight="1">
      <c r="A13" s="3"/>
      <c r="B13" s="18">
        <f>IF(DAY(FebSun1)=1,IF(AND(YEAR(FebSun1+22)=カレンダーの年,MONTH(FebSun1+22)=2),FebSun1+22,""),IF(AND(YEAR(FebSun1+29)=カレンダーの年,MONTH(FebSun1+29)=2),FebSun1+29,""))</f>
        <v>45348</v>
      </c>
      <c r="C13" s="18">
        <f>IF(DAY(FebSun1)=1,IF(AND(YEAR(FebSun1+23)=カレンダーの年,MONTH(FebSun1+23)=2),FebSun1+23,""),IF(AND(YEAR(FebSun1+30)=カレンダーの年,MONTH(FebSun1+30)=2),FebSun1+30,""))</f>
        <v>45349</v>
      </c>
      <c r="D13" s="18">
        <f>IF(DAY(FebSun1)=1,IF(AND(YEAR(FebSun1+24)=カレンダーの年,MONTH(FebSun1+24)=2),FebSun1+24,""),IF(AND(YEAR(FebSun1+31)=カレンダーの年,MONTH(FebSun1+31)=2),FebSun1+31,""))</f>
        <v>45350</v>
      </c>
      <c r="E13" s="18">
        <f>IF(DAY(FebSun1)=1,IF(AND(YEAR(FebSun1+25)=カレンダーの年,MONTH(FebSun1+25)=2),FebSun1+25,""),IF(AND(YEAR(FebSun1+32)=カレンダーの年,MONTH(FebSun1+32)=2),FebSun1+32,""))</f>
        <v>45351</v>
      </c>
      <c r="F13" s="18" t="str">
        <f>IF(DAY(FebSun1)=1,IF(AND(YEAR(FebSun1+26)=カレンダーの年,MONTH(FebSun1+26)=2),FebSun1+26,""),IF(AND(YEAR(FebSun1+33)=カレンダーの年,MONTH(FebSun1+33)=2),FebSun1+33,""))</f>
        <v/>
      </c>
      <c r="G13" s="18" t="str">
        <f>IF(DAY(FebSun1)=1,IF(AND(YEAR(FebSun1+27)=カレンダーの年,MONTH(FebSun1+27)=2),FebSun1+27,""),IF(AND(YEAR(FebSun1+34)=カレンダーの年,MONTH(FebSun1+34)=2),FebSun1+34,""))</f>
        <v/>
      </c>
      <c r="H13" s="18" t="str">
        <f>IF(DAY(FebSun1)=1,IF(AND(YEAR(FebSun1+28)=カレンダーの年,MONTH(FebSun1+28)=2),FebSun1+28,""),IF(AND(YEAR(FebSun1+35)=カレンダーの年,MONTH(FebSun1+35)=2),FebSun1+35,""))</f>
        <v/>
      </c>
      <c r="I13" s="11"/>
    </row>
    <row r="14" spans="1:18" ht="64.5" customHeight="1">
      <c r="A14" s="3"/>
      <c r="B14" s="13"/>
      <c r="C14" s="13"/>
      <c r="D14" s="13"/>
      <c r="E14" s="13"/>
      <c r="F14" s="13"/>
      <c r="G14" s="14"/>
      <c r="H14" s="14"/>
      <c r="I14" s="11"/>
    </row>
    <row r="15" spans="1:18" ht="15" customHeight="1">
      <c r="A15" s="3"/>
      <c r="B15" s="19" t="str">
        <f>IF(DAY(FebSun1)=1,IF(AND(YEAR(FebSun1+29)=カレンダーの年,MONTH(FebSun1+29)=2),FebSun1+29,""),IF(AND(YEAR(FebSun1+36)=カレンダーの年,MONTH(FebSun1+36)=2),FebSun1+36,""))</f>
        <v/>
      </c>
      <c r="C15" s="20" t="str">
        <f>IF(DAY(FebSun1)=1,IF(AND(YEAR(FebSun1+30)=カレンダーの年,MONTH(FebSun1+30)=2),FebSun1+30,""),IF(AND(YEAR(FebSun1+37)=カレンダーの年,MONTH(FebSun1+37)=2),FebSun1+37,""))</f>
        <v/>
      </c>
      <c r="D15" s="135" t="s">
        <v>8</v>
      </c>
      <c r="E15" s="136"/>
      <c r="F15" s="136"/>
      <c r="G15" s="136"/>
      <c r="H15" s="137"/>
      <c r="I15" s="11"/>
    </row>
    <row r="16" spans="1:18" ht="64.5" customHeight="1">
      <c r="A16" s="3"/>
      <c r="B16" s="16"/>
      <c r="C16" s="16"/>
      <c r="D16" s="132" t="s">
        <v>39</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249977111117893"/>
    <pageSetUpPr fitToPage="1"/>
  </sheetPr>
  <dimension ref="A1:R20"/>
  <sheetViews>
    <sheetView showGridLines="0" zoomScale="80" zoomScaleNormal="80" workbookViewId="0">
      <selection activeCell="G14" sqref="G14"/>
    </sheetView>
  </sheetViews>
  <sheetFormatPr defaultColWidth="6.6640625" defaultRowHeight="15"/>
  <cols>
    <col min="1" max="1" width="3.0546875" style="1" customWidth="1"/>
    <col min="2" max="6" width="11.109375" style="1" customWidth="1"/>
    <col min="7" max="7" width="20.83203125" style="1" customWidth="1"/>
    <col min="8" max="8" width="20.71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97</v>
      </c>
      <c r="D2" s="4"/>
      <c r="E2" s="4"/>
      <c r="F2" s="4"/>
      <c r="G2" s="4"/>
      <c r="H2" s="4"/>
      <c r="I2" s="4"/>
      <c r="J2" s="4"/>
    </row>
    <row r="3" spans="1:18" ht="62.25" customHeight="1">
      <c r="A3" s="3"/>
      <c r="B3" s="138" t="str">
        <f>UPPER(TEXT(DATE(カレンダーの年,3,1),"yyyy年m月"))</f>
        <v>2024年3月</v>
      </c>
      <c r="C3" s="138"/>
      <c r="D3" s="138"/>
      <c r="E3" s="138"/>
      <c r="F3" s="138"/>
      <c r="G3" s="60"/>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IF(DAY(MarSun1)=1,"",IF(AND(YEAR(MarSun1+1)=カレンダーの年,MONTH(MarSun1+1)=3),MarSun1+1,""))</f>
        <v/>
      </c>
      <c r="C5" s="10" t="str">
        <f>IF(DAY(MarSun1)=1,"",IF(AND(YEAR(MarSun1+2)=カレンダーの年,MONTH(MarSun1+2)=3),MarSun1+2,""))</f>
        <v/>
      </c>
      <c r="D5" s="10" t="str">
        <f>IF(DAY(MarSun1)=1,"",IF(AND(YEAR(MarSun1+3)=カレンダーの年,MONTH(MarSun1+3)=3),MarSun1+3,""))</f>
        <v/>
      </c>
      <c r="E5" s="10" t="str">
        <f>IF(DAY(MarSun1)=1,"",IF(AND(YEAR(MarSun1+4)=カレンダーの年,MONTH(MarSun1+4)=3),MarSun1+4,""))</f>
        <v/>
      </c>
      <c r="F5" s="10">
        <f>IF(DAY(MarSun1)=1,"",IF(AND(YEAR(MarSun1+5)=カレンダーの年,MONTH(MarSun1+5)=3),MarSun1+5,""))</f>
        <v>45352</v>
      </c>
      <c r="G5" s="10">
        <f>IF(DAY(MarSun1)=1,"",IF(AND(YEAR(MarSun1+6)=カレンダーの年,MONTH(MarSun1+6)=3),MarSun1+6,""))</f>
        <v>45353</v>
      </c>
      <c r="H5" s="10">
        <f>IF(DAY(MarSun1)=1,IF(AND(YEAR(MarSun1)=カレンダーの年,MONTH(MarSun1)=3),MarSun1,""),IF(AND(YEAR(MarSun1+7)=カレンダーの年,MONTH(MarSun1+7)=3),MarSun1+7,""))</f>
        <v>45354</v>
      </c>
      <c r="I5" s="11"/>
      <c r="K5" s="1"/>
      <c r="L5" s="1"/>
      <c r="M5" s="1"/>
      <c r="Q5" s="12"/>
      <c r="R5" s="1"/>
    </row>
    <row r="6" spans="1:18" s="12" customFormat="1" ht="28.5">
      <c r="A6" s="3"/>
      <c r="B6" s="13"/>
      <c r="C6" s="13"/>
      <c r="D6" s="13"/>
      <c r="E6" s="13"/>
      <c r="F6" s="13"/>
      <c r="G6" s="82" t="s">
        <v>92</v>
      </c>
      <c r="H6" s="82" t="s">
        <v>90</v>
      </c>
      <c r="I6" s="11"/>
      <c r="N6" s="12" t="s">
        <v>98</v>
      </c>
    </row>
    <row r="7" spans="1:18" ht="15" customHeight="1">
      <c r="A7" s="3"/>
      <c r="B7" s="15">
        <f>IF(DAY(MarSun1)=1,IF(AND(YEAR(MarSun1+1)=カレンダーの年,MONTH(MarSun1+1)=3),MarSun1+1,""),IF(AND(YEAR(MarSun1+8)=カレンダーの年,MONTH(MarSun1+8)=3),MarSun1+8,""))</f>
        <v>45355</v>
      </c>
      <c r="C7" s="15">
        <f>IF(DAY(MarSun1)=1,IF(AND(YEAR(MarSun1+2)=カレンダーの年,MONTH(MarSun1+2)=3),MarSun1+2,""),IF(AND(YEAR(MarSun1+9)=カレンダーの年,MONTH(MarSun1+9)=3),MarSun1+9,""))</f>
        <v>45356</v>
      </c>
      <c r="D7" s="15">
        <f>IF(DAY(MarSun1)=1,IF(AND(YEAR(MarSun1+3)=カレンダーの年,MONTH(MarSun1+3)=3),MarSun1+3,""),IF(AND(YEAR(MarSun1+10)=カレンダーの年,MONTH(MarSun1+10)=3),MarSun1+10,""))</f>
        <v>45357</v>
      </c>
      <c r="E7" s="15">
        <f>IF(DAY(MarSun1)=1,IF(AND(YEAR(MarSun1+4)=カレンダーの年,MONTH(MarSun1+4)=3),MarSun1+4,""),IF(AND(YEAR(MarSun1+11)=カレンダーの年,MONTH(MarSun1+11)=3),MarSun1+11,""))</f>
        <v>45358</v>
      </c>
      <c r="F7" s="15">
        <f>IF(DAY(MarSun1)=1,IF(AND(YEAR(MarSun1+5)=カレンダーの年,MONTH(MarSun1+5)=3),MarSun1+5,""),IF(AND(YEAR(MarSun1+12)=カレンダーの年,MONTH(MarSun1+12)=3),MarSun1+12,""))</f>
        <v>45359</v>
      </c>
      <c r="G7" s="15">
        <f>IF(DAY(MarSun1)=1,IF(AND(YEAR(MarSun1+6)=カレンダーの年,MONTH(MarSun1+6)=3),MarSun1+6,""),IF(AND(YEAR(MarSun1+13)=カレンダーの年,MONTH(MarSun1+13)=3),MarSun1+13,""))</f>
        <v>45360</v>
      </c>
      <c r="H7" s="15">
        <f>IF(DAY(MarSun1)=1,IF(AND(YEAR(MarSun1+7)=カレンダーの年,MONTH(MarSun1+7)=3),MarSun1+7,""),IF(AND(YEAR(MarSun1+14)=カレンダーの年,MONTH(MarSun1+14)=3),MarSun1+14,""))</f>
        <v>45361</v>
      </c>
      <c r="I7" s="11"/>
    </row>
    <row r="8" spans="1:18" ht="28.5">
      <c r="A8" s="3"/>
      <c r="B8" s="16"/>
      <c r="C8" s="16"/>
      <c r="D8" s="16"/>
      <c r="E8" s="16"/>
      <c r="F8" s="16"/>
      <c r="G8" s="80" t="s">
        <v>93</v>
      </c>
      <c r="H8" s="80" t="s">
        <v>90</v>
      </c>
      <c r="I8" s="11"/>
      <c r="N8" s="1" t="s">
        <v>99</v>
      </c>
    </row>
    <row r="9" spans="1:18" ht="15" customHeight="1">
      <c r="A9" s="3"/>
      <c r="B9" s="18">
        <f>IF(DAY(MarSun1)=1,IF(AND(YEAR(MarSun1+8)=カレンダーの年,MONTH(MarSun1+8)=3),MarSun1+8,""),IF(AND(YEAR(MarSun1+15)=カレンダーの年,MONTH(MarSun1+15)=3),MarSun1+15,""))</f>
        <v>45362</v>
      </c>
      <c r="C9" s="18">
        <f>IF(DAY(MarSun1)=1,IF(AND(YEAR(MarSun1+9)=カレンダーの年,MONTH(MarSun1+9)=3),MarSun1+9,""),IF(AND(YEAR(MarSun1+16)=カレンダーの年,MONTH(MarSun1+16)=3),MarSun1+16,""))</f>
        <v>45363</v>
      </c>
      <c r="D9" s="18">
        <f>IF(DAY(MarSun1)=1,IF(AND(YEAR(MarSun1+10)=カレンダーの年,MONTH(MarSun1+10)=3),MarSun1+10,""),IF(AND(YEAR(MarSun1+17)=カレンダーの年,MONTH(MarSun1+17)=3),MarSun1+17,""))</f>
        <v>45364</v>
      </c>
      <c r="E9" s="18">
        <f>IF(DAY(MarSun1)=1,IF(AND(YEAR(MarSun1+11)=カレンダーの年,MONTH(MarSun1+11)=3),MarSun1+11,""),IF(AND(YEAR(MarSun1+18)=カレンダーの年,MONTH(MarSun1+18)=3),MarSun1+18,""))</f>
        <v>45365</v>
      </c>
      <c r="F9" s="18">
        <f>IF(DAY(MarSun1)=1,IF(AND(YEAR(MarSun1+12)=カレンダーの年,MONTH(MarSun1+12)=3),MarSun1+12,""),IF(AND(YEAR(MarSun1+19)=カレンダーの年,MONTH(MarSun1+19)=3),MarSun1+19,""))</f>
        <v>45366</v>
      </c>
      <c r="G9" s="18">
        <f>IF(DAY(MarSun1)=1,IF(AND(YEAR(MarSun1+13)=カレンダーの年,MONTH(MarSun1+13)=3),MarSun1+13,""),IF(AND(YEAR(MarSun1+20)=カレンダーの年,MONTH(MarSun1+20)=3),MarSun1+20,""))</f>
        <v>45367</v>
      </c>
      <c r="H9" s="18">
        <f>IF(DAY(MarSun1)=1,IF(AND(YEAR(MarSun1+14)=カレンダーの年,MONTH(MarSun1+14)=3),MarSun1+14,""),IF(AND(YEAR(MarSun1+21)=カレンダーの年,MONTH(MarSun1+21)=3),MarSun1+21,""))</f>
        <v>45368</v>
      </c>
      <c r="I9" s="11"/>
    </row>
    <row r="10" spans="1:18" ht="33.85" customHeight="1">
      <c r="A10" s="3"/>
      <c r="B10" s="13"/>
      <c r="C10" s="13"/>
      <c r="D10" s="13"/>
      <c r="E10" s="13"/>
      <c r="F10" s="13"/>
      <c r="G10" s="14"/>
      <c r="H10" s="14"/>
      <c r="I10" s="11"/>
      <c r="N10" s="1" t="s">
        <v>100</v>
      </c>
    </row>
    <row r="11" spans="1:18" ht="15" customHeight="1">
      <c r="A11" s="3"/>
      <c r="B11" s="19">
        <f>IF(DAY(MarSun1)=1,IF(AND(YEAR(MarSun1+15)=カレンダーの年,MONTH(MarSun1+15)=3),MarSun1+15,""),IF(AND(YEAR(MarSun1+22)=カレンダーの年,MONTH(MarSun1+22)=3),MarSun1+22,""))</f>
        <v>45369</v>
      </c>
      <c r="C11" s="19">
        <f>IF(DAY(MarSun1)=1,IF(AND(YEAR(MarSun1+16)=カレンダーの年,MONTH(MarSun1+16)=3),MarSun1+16,""),IF(AND(YEAR(MarSun1+23)=カレンダーの年,MONTH(MarSun1+23)=3),MarSun1+23,""))</f>
        <v>45370</v>
      </c>
      <c r="D11" s="19">
        <f>IF(DAY(MarSun1)=1,IF(AND(YEAR(MarSun1+17)=カレンダーの年,MONTH(MarSun1+17)=3),MarSun1+17,""),IF(AND(YEAR(MarSun1+24)=カレンダーの年,MONTH(MarSun1+24)=3),MarSun1+24,""))</f>
        <v>45371</v>
      </c>
      <c r="E11" s="19">
        <f>IF(DAY(MarSun1)=1,IF(AND(YEAR(MarSun1+18)=カレンダーの年,MONTH(MarSun1+18)=3),MarSun1+18,""),IF(AND(YEAR(MarSun1+25)=カレンダーの年,MONTH(MarSun1+25)=3),MarSun1+25,""))</f>
        <v>45372</v>
      </c>
      <c r="F11" s="19">
        <f>IF(DAY(MarSun1)=1,IF(AND(YEAR(MarSun1+19)=カレンダーの年,MONTH(MarSun1+19)=3),MarSun1+19,""),IF(AND(YEAR(MarSun1+26)=カレンダーの年,MONTH(MarSun1+26)=3),MarSun1+26,""))</f>
        <v>45373</v>
      </c>
      <c r="G11" s="19">
        <f>IF(DAY(MarSun1)=1,IF(AND(YEAR(MarSun1+20)=カレンダーの年,MONTH(MarSun1+20)=3),MarSun1+20,""),IF(AND(YEAR(MarSun1+27)=カレンダーの年,MONTH(MarSun1+27)=3),MarSun1+27,""))</f>
        <v>45374</v>
      </c>
      <c r="H11" s="19">
        <f>IF(DAY(MarSun1)=1,IF(AND(YEAR(MarSun1+21)=カレンダーの年,MONTH(MarSun1+21)=3),MarSun1+21,""),IF(AND(YEAR(MarSun1+28)=カレンダーの年,MONTH(MarSun1+28)=3),MarSun1+28,""))</f>
        <v>45375</v>
      </c>
      <c r="I11" s="11"/>
    </row>
    <row r="12" spans="1:18" ht="28.5">
      <c r="A12" s="3"/>
      <c r="B12" s="16"/>
      <c r="C12" s="59"/>
      <c r="D12" s="16"/>
      <c r="E12" s="16"/>
      <c r="F12" s="16"/>
      <c r="G12" s="80" t="s">
        <v>94</v>
      </c>
      <c r="H12" s="80" t="s">
        <v>96</v>
      </c>
      <c r="I12" s="11"/>
      <c r="N12" s="1" t="s">
        <v>101</v>
      </c>
      <c r="P12"/>
    </row>
    <row r="13" spans="1:18" ht="15" customHeight="1">
      <c r="A13" s="3"/>
      <c r="B13" s="18">
        <f>IF(DAY(MarSun1)=1,IF(AND(YEAR(MarSun1+22)=カレンダーの年,MONTH(MarSun1+22)=3),MarSun1+22,""),IF(AND(YEAR(MarSun1+29)=カレンダーの年,MONTH(MarSun1+29)=3),MarSun1+29,""))</f>
        <v>45376</v>
      </c>
      <c r="C13" s="18">
        <f>IF(DAY(MarSun1)=1,IF(AND(YEAR(MarSun1+23)=カレンダーの年,MONTH(MarSun1+23)=3),MarSun1+23,""),IF(AND(YEAR(MarSun1+30)=カレンダーの年,MONTH(MarSun1+30)=3),MarSun1+30,""))</f>
        <v>45377</v>
      </c>
      <c r="D13" s="18">
        <f>IF(DAY(MarSun1)=1,IF(AND(YEAR(MarSun1+24)=カレンダーの年,MONTH(MarSun1+24)=3),MarSun1+24,""),IF(AND(YEAR(MarSun1+31)=カレンダーの年,MONTH(MarSun1+31)=3),MarSun1+31,""))</f>
        <v>45378</v>
      </c>
      <c r="E13" s="18">
        <f>IF(DAY(MarSun1)=1,IF(AND(YEAR(MarSun1+25)=カレンダーの年,MONTH(MarSun1+25)=3),MarSun1+25,""),IF(AND(YEAR(MarSun1+32)=カレンダーの年,MONTH(MarSun1+32)=3),MarSun1+32,""))</f>
        <v>45379</v>
      </c>
      <c r="F13" s="18">
        <f>IF(DAY(MarSun1)=1,IF(AND(YEAR(MarSun1+26)=カレンダーの年,MONTH(MarSun1+26)=3),MarSun1+26,""),IF(AND(YEAR(MarSun1+33)=カレンダーの年,MONTH(MarSun1+33)=3),MarSun1+33,""))</f>
        <v>45380</v>
      </c>
      <c r="G13" s="18">
        <f>IF(DAY(MarSun1)=1,IF(AND(YEAR(MarSun1+27)=カレンダーの年,MONTH(MarSun1+27)=3),MarSun1+27,""),IF(AND(YEAR(MarSun1+34)=カレンダーの年,MONTH(MarSun1+34)=3),MarSun1+34,""))</f>
        <v>45381</v>
      </c>
      <c r="H13" s="18">
        <f>IF(DAY(MarSun1)=1,IF(AND(YEAR(MarSun1+28)=カレンダーの年,MONTH(MarSun1+28)=3),MarSun1+28,""),IF(AND(YEAR(MarSun1+35)=カレンダーの年,MONTH(MarSun1+35)=3),MarSun1+35,""))</f>
        <v>45382</v>
      </c>
      <c r="I13" s="11"/>
    </row>
    <row r="14" spans="1:18" ht="86.65" customHeight="1">
      <c r="A14" s="3"/>
      <c r="B14" s="13"/>
      <c r="C14" s="13"/>
      <c r="D14" s="13"/>
      <c r="E14" s="13"/>
      <c r="F14" s="13"/>
      <c r="G14" s="81" t="s">
        <v>102</v>
      </c>
      <c r="H14" s="82" t="s">
        <v>95</v>
      </c>
      <c r="I14" s="11"/>
    </row>
    <row r="15" spans="1:18" ht="15" customHeight="1">
      <c r="A15" s="3"/>
      <c r="B15" s="19" t="str">
        <f>IF(DAY(MarSun1)=1,IF(AND(YEAR(MarSun1+29)=カレンダーの年,MONTH(MarSun1+29)=3),MarSun1+29,""),IF(AND(YEAR(MarSun1+36)=カレンダーの年,MONTH(MarSun1+36)=3),MarSun1+36,""))</f>
        <v/>
      </c>
      <c r="C15" s="20" t="str">
        <f>IF(DAY(MarSun1)=1,IF(AND(YEAR(MarSun1+30)=カレンダーの年,MONTH(MarSun1+30)=3),MarSun1+30,""),IF(AND(YEAR(MarSun1+37)=カレンダーの年,MONTH(MarSun1+37)=3),MarSun1+37,""))</f>
        <v/>
      </c>
      <c r="D15" s="135" t="s">
        <v>8</v>
      </c>
      <c r="E15" s="136"/>
      <c r="F15" s="136"/>
      <c r="G15" s="136"/>
      <c r="H15" s="137"/>
      <c r="I15" s="11"/>
    </row>
    <row r="16" spans="1:18" ht="64.5" customHeight="1">
      <c r="A16" s="3"/>
      <c r="B16" s="16"/>
      <c r="C16" s="16"/>
      <c r="D16" s="132" t="s">
        <v>91</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fitToPage="1"/>
  </sheetPr>
  <dimension ref="A1:R20"/>
  <sheetViews>
    <sheetView showGridLines="0" zoomScale="80" zoomScaleNormal="80" workbookViewId="0">
      <selection activeCell="G8" sqref="G8"/>
    </sheetView>
  </sheetViews>
  <sheetFormatPr defaultColWidth="6.6640625" defaultRowHeight="15"/>
  <cols>
    <col min="1" max="1" width="3.0546875" style="1" customWidth="1"/>
    <col min="2" max="2" width="17.109375" style="1" customWidth="1"/>
    <col min="3" max="6" width="11.21875" style="1" customWidth="1"/>
    <col min="7" max="8" width="21.164062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33</v>
      </c>
      <c r="C2" s="24" t="s">
        <v>59</v>
      </c>
      <c r="D2" s="4"/>
      <c r="E2" s="4"/>
      <c r="F2" s="4"/>
      <c r="G2" s="4"/>
      <c r="H2" s="4"/>
      <c r="I2" s="4"/>
      <c r="J2" s="4"/>
    </row>
    <row r="3" spans="1:18" ht="62.25" customHeight="1">
      <c r="A3" s="3"/>
      <c r="B3" s="138" t="str">
        <f>UPPER(TEXT(DATE(カレンダーの年,4,1),"yyyy年m月"))</f>
        <v>2024年4月</v>
      </c>
      <c r="C3" s="138"/>
      <c r="D3" s="138"/>
      <c r="E3" s="138"/>
      <c r="F3" s="138"/>
    </row>
    <row r="4" spans="1:18" s="3" customFormat="1" ht="26.25" customHeight="1">
      <c r="B4" s="6" t="s">
        <v>9</v>
      </c>
      <c r="C4" s="7" t="s">
        <v>0</v>
      </c>
      <c r="D4" s="7" t="s">
        <v>1</v>
      </c>
      <c r="E4" s="7" t="s">
        <v>2</v>
      </c>
      <c r="F4" s="7" t="s">
        <v>3</v>
      </c>
      <c r="G4" s="7" t="s">
        <v>4</v>
      </c>
      <c r="H4" s="8" t="s">
        <v>5</v>
      </c>
      <c r="I4" s="1"/>
      <c r="J4" s="1"/>
      <c r="L4" s="1"/>
      <c r="M4" s="9"/>
      <c r="Q4" s="1"/>
      <c r="R4" s="1"/>
    </row>
    <row r="5" spans="1:18" s="3" customFormat="1" ht="15" customHeight="1">
      <c r="B5" s="10">
        <f>IF(DAY(AprSun1)=1,"",IF(AND(YEAR(AprSun1+1)=カレンダーの年,MONTH(AprSun1+1)=4),AprSun1+1,""))</f>
        <v>45383</v>
      </c>
      <c r="C5" s="10">
        <f>IF(DAY(AprSun1)=1,"",IF(AND(YEAR(AprSun1+2)=カレンダーの年,MONTH(AprSun1+2)=4),AprSun1+2,""))</f>
        <v>45384</v>
      </c>
      <c r="D5" s="10">
        <f>IF(DAY(AprSun1)=1,"",IF(AND(YEAR(AprSun1+3)=カレンダーの年,MONTH(AprSun1+3)=4),AprSun1+3,""))</f>
        <v>45385</v>
      </c>
      <c r="E5" s="10">
        <f>IF(DAY(AprSun1)=1,"",IF(AND(YEAR(AprSun1+4)=カレンダーの年,MONTH(AprSun1+4)=4),AprSun1+4,""))</f>
        <v>45386</v>
      </c>
      <c r="F5" s="10">
        <f>IF(DAY(AprSun1)=1,"",IF(AND(YEAR(AprSun1+5)=カレンダーの年,MONTH(AprSun1+5)=4),AprSun1+5,""))</f>
        <v>45387</v>
      </c>
      <c r="G5" s="10">
        <f>IF(DAY(AprSun1)=1,"",IF(AND(YEAR(AprSun1+6)=カレンダーの年,MONTH(AprSun1+6)=4),AprSun1+6,""))</f>
        <v>45388</v>
      </c>
      <c r="H5" s="10">
        <f>IF(DAY(AprSun1)=1,IF(AND(YEAR(AprSun1)=カレンダーの年,MONTH(AprSun1)=4),AprSun1,""),IF(AND(YEAR(AprSun1+7)=カレンダーの年,MONTH(AprSun1+7)=4),AprSun1+7,""))</f>
        <v>45389</v>
      </c>
      <c r="I5" s="11"/>
      <c r="K5" s="1"/>
      <c r="L5" s="1"/>
      <c r="M5" s="1"/>
      <c r="Q5" s="12"/>
      <c r="R5" s="1"/>
    </row>
    <row r="6" spans="1:18" s="12" customFormat="1" ht="64.5" customHeight="1">
      <c r="A6" s="3"/>
      <c r="B6" s="13"/>
      <c r="C6" s="13"/>
      <c r="D6" s="13"/>
      <c r="E6" s="13"/>
      <c r="F6" s="13"/>
      <c r="G6" s="83"/>
      <c r="H6" s="69"/>
      <c r="I6" s="11"/>
    </row>
    <row r="7" spans="1:18" ht="15" customHeight="1">
      <c r="A7" s="3"/>
      <c r="B7" s="15">
        <f>IF(DAY(AprSun1)=1,IF(AND(YEAR(AprSun1+1)=カレンダーの年,MONTH(AprSun1+1)=4),AprSun1+1,""),IF(AND(YEAR(AprSun1+8)=カレンダーの年,MONTH(AprSun1+8)=4),AprSun1+8,""))</f>
        <v>45390</v>
      </c>
      <c r="C7" s="15">
        <f>IF(DAY(AprSun1)=1,IF(AND(YEAR(AprSun1+2)=カレンダーの年,MONTH(AprSun1+2)=4),AprSun1+2,""),IF(AND(YEAR(AprSun1+9)=カレンダーの年,MONTH(AprSun1+9)=4),AprSun1+9,""))</f>
        <v>45391</v>
      </c>
      <c r="D7" s="15">
        <f>IF(DAY(AprSun1)=1,IF(AND(YEAR(AprSun1+3)=カレンダーの年,MONTH(AprSun1+3)=4),AprSun1+3,""),IF(AND(YEAR(AprSun1+10)=カレンダーの年,MONTH(AprSun1+10)=4),AprSun1+10,""))</f>
        <v>45392</v>
      </c>
      <c r="E7" s="15">
        <f>IF(DAY(AprSun1)=1,IF(AND(YEAR(AprSun1+4)=カレンダーの年,MONTH(AprSun1+4)=4),AprSun1+4,""),IF(AND(YEAR(AprSun1+11)=カレンダーの年,MONTH(AprSun1+11)=4),AprSun1+11,""))</f>
        <v>45393</v>
      </c>
      <c r="F7" s="15">
        <f>IF(DAY(AprSun1)=1,IF(AND(YEAR(AprSun1+5)=カレンダーの年,MONTH(AprSun1+5)=4),AprSun1+5,""),IF(AND(YEAR(AprSun1+12)=カレンダーの年,MONTH(AprSun1+12)=4),AprSun1+12,""))</f>
        <v>45394</v>
      </c>
      <c r="G7" s="15">
        <f>IF(DAY(AprSun1)=1,IF(AND(YEAR(AprSun1+6)=カレンダーの年,MONTH(AprSun1+6)=4),AprSun1+6,""),IF(AND(YEAR(AprSun1+13)=カレンダーの年,MONTH(AprSun1+13)=4),AprSun1+13,""))</f>
        <v>45395</v>
      </c>
      <c r="H7" s="15">
        <f>IF(DAY(AprSun1)=1,IF(AND(YEAR(AprSun1+7)=カレンダーの年,MONTH(AprSun1+7)=4),AprSun1+7,""),IF(AND(YEAR(AprSun1+14)=カレンダーの年,MONTH(AprSun1+14)=4),AprSun1+14,""))</f>
        <v>45396</v>
      </c>
      <c r="I7" s="11"/>
    </row>
    <row r="8" spans="1:18" ht="64.5" customHeight="1">
      <c r="A8" s="3"/>
      <c r="B8" s="16"/>
      <c r="C8" s="16"/>
      <c r="D8" s="16"/>
      <c r="E8" s="16"/>
      <c r="F8" s="16"/>
      <c r="G8" s="84" t="s">
        <v>103</v>
      </c>
      <c r="H8" s="26"/>
      <c r="I8" s="11"/>
    </row>
    <row r="9" spans="1:18" ht="15" customHeight="1">
      <c r="A9" s="3"/>
      <c r="B9" s="18">
        <f>IF(DAY(AprSun1)=1,IF(AND(YEAR(AprSun1+8)=カレンダーの年,MONTH(AprSun1+8)=4),AprSun1+8,""),IF(AND(YEAR(AprSun1+15)=カレンダーの年,MONTH(AprSun1+15)=4),AprSun1+15,""))</f>
        <v>45397</v>
      </c>
      <c r="C9" s="18">
        <f>IF(DAY(AprSun1)=1,IF(AND(YEAR(AprSun1+9)=カレンダーの年,MONTH(AprSun1+9)=4),AprSun1+9,""),IF(AND(YEAR(AprSun1+16)=カレンダーの年,MONTH(AprSun1+16)=4),AprSun1+16,""))</f>
        <v>45398</v>
      </c>
      <c r="D9" s="18">
        <f>IF(DAY(AprSun1)=1,IF(AND(YEAR(AprSun1+10)=カレンダーの年,MONTH(AprSun1+10)=4),AprSun1+10,""),IF(AND(YEAR(AprSun1+17)=カレンダーの年,MONTH(AprSun1+17)=4),AprSun1+17,""))</f>
        <v>45399</v>
      </c>
      <c r="E9" s="18">
        <f>IF(DAY(AprSun1)=1,IF(AND(YEAR(AprSun1+11)=カレンダーの年,MONTH(AprSun1+11)=4),AprSun1+11,""),IF(AND(YEAR(AprSun1+18)=カレンダーの年,MONTH(AprSun1+18)=4),AprSun1+18,""))</f>
        <v>45400</v>
      </c>
      <c r="F9" s="18">
        <f>IF(DAY(AprSun1)=1,IF(AND(YEAR(AprSun1+12)=カレンダーの年,MONTH(AprSun1+12)=4),AprSun1+12,""),IF(AND(YEAR(AprSun1+19)=カレンダーの年,MONTH(AprSun1+19)=4),AprSun1+19,""))</f>
        <v>45401</v>
      </c>
      <c r="G9" s="18">
        <f>IF(DAY(AprSun1)=1,IF(AND(YEAR(AprSun1+13)=カレンダーの年,MONTH(AprSun1+13)=4),AprSun1+13,""),IF(AND(YEAR(AprSun1+20)=カレンダーの年,MONTH(AprSun1+20)=4),AprSun1+20,""))</f>
        <v>45402</v>
      </c>
      <c r="H9" s="18">
        <f>IF(DAY(AprSun1)=1,IF(AND(YEAR(AprSun1+14)=カレンダーの年,MONTH(AprSun1+14)=4),AprSun1+14,""),IF(AND(YEAR(AprSun1+21)=カレンダーの年,MONTH(AprSun1+21)=4),AprSun1+21,""))</f>
        <v>45403</v>
      </c>
      <c r="I9" s="11"/>
    </row>
    <row r="10" spans="1:18" ht="64.5" customHeight="1">
      <c r="A10" s="3"/>
      <c r="B10" s="13"/>
      <c r="C10" s="13"/>
      <c r="D10" s="13"/>
      <c r="E10" s="13"/>
      <c r="F10" s="13"/>
      <c r="G10" s="67" t="s">
        <v>103</v>
      </c>
      <c r="H10" s="25"/>
      <c r="I10" s="11"/>
    </row>
    <row r="11" spans="1:18" ht="15" customHeight="1">
      <c r="A11" s="3"/>
      <c r="B11" s="19">
        <f>IF(DAY(AprSun1)=1,IF(AND(YEAR(AprSun1+15)=カレンダーの年,MONTH(AprSun1+15)=4),AprSun1+15,""),IF(AND(YEAR(AprSun1+22)=カレンダーの年,MONTH(AprSun1+22)=4),AprSun1+22,""))</f>
        <v>45404</v>
      </c>
      <c r="C11" s="19">
        <f>IF(DAY(AprSun1)=1,IF(AND(YEAR(AprSun1+16)=カレンダーの年,MONTH(AprSun1+16)=4),AprSun1+16,""),IF(AND(YEAR(AprSun1+23)=カレンダーの年,MONTH(AprSun1+23)=4),AprSun1+23,""))</f>
        <v>45405</v>
      </c>
      <c r="D11" s="19">
        <f>IF(DAY(AprSun1)=1,IF(AND(YEAR(AprSun1+17)=カレンダーの年,MONTH(AprSun1+17)=4),AprSun1+17,""),IF(AND(YEAR(AprSun1+24)=カレンダーの年,MONTH(AprSun1+24)=4),AprSun1+24,""))</f>
        <v>45406</v>
      </c>
      <c r="E11" s="19">
        <f>IF(DAY(AprSun1)=1,IF(AND(YEAR(AprSun1+18)=カレンダーの年,MONTH(AprSun1+18)=4),AprSun1+18,""),IF(AND(YEAR(AprSun1+25)=カレンダーの年,MONTH(AprSun1+25)=4),AprSun1+25,""))</f>
        <v>45407</v>
      </c>
      <c r="F11" s="19">
        <f>IF(DAY(AprSun1)=1,IF(AND(YEAR(AprSun1+19)=カレンダーの年,MONTH(AprSun1+19)=4),AprSun1+19,""),IF(AND(YEAR(AprSun1+26)=カレンダーの年,MONTH(AprSun1+26)=4),AprSun1+26,""))</f>
        <v>45408</v>
      </c>
      <c r="G11" s="19">
        <f>IF(DAY(AprSun1)=1,IF(AND(YEAR(AprSun1+20)=カレンダーの年,MONTH(AprSun1+20)=4),AprSun1+20,""),IF(AND(YEAR(AprSun1+27)=カレンダーの年,MONTH(AprSun1+27)=4),AprSun1+27,""))</f>
        <v>45409</v>
      </c>
      <c r="H11" s="19">
        <f>IF(DAY(AprSun1)=1,IF(AND(YEAR(AprSun1+21)=カレンダーの年,MONTH(AprSun1+21)=4),AprSun1+21,""),IF(AND(YEAR(AprSun1+28)=カレンダーの年,MONTH(AprSun1+28)=4),AprSun1+28,""))</f>
        <v>45410</v>
      </c>
      <c r="I11" s="11"/>
    </row>
    <row r="12" spans="1:18" ht="64.5" customHeight="1">
      <c r="A12" s="3"/>
      <c r="B12" s="16"/>
      <c r="C12" s="16"/>
      <c r="D12" s="16"/>
      <c r="E12" s="16"/>
      <c r="F12" s="16"/>
      <c r="G12" s="86" t="s">
        <v>105</v>
      </c>
      <c r="H12" s="84" t="s">
        <v>104</v>
      </c>
      <c r="I12" s="11"/>
    </row>
    <row r="13" spans="1:18" ht="15" customHeight="1">
      <c r="A13" s="3"/>
      <c r="B13" s="18">
        <f>IF(DAY(AprSun1)=1,IF(AND(YEAR(AprSun1+22)=カレンダーの年,MONTH(AprSun1+22)=4),AprSun1+22,""),IF(AND(YEAR(AprSun1+29)=カレンダーの年,MONTH(AprSun1+29)=4),AprSun1+29,""))</f>
        <v>45411</v>
      </c>
      <c r="C13" s="18">
        <f>IF(DAY(AprSun1)=1,IF(AND(YEAR(AprSun1+23)=カレンダーの年,MONTH(AprSun1+23)=4),AprSun1+23,""),IF(AND(YEAR(AprSun1+30)=カレンダーの年,MONTH(AprSun1+30)=4),AprSun1+30,""))</f>
        <v>45412</v>
      </c>
      <c r="D13" s="18" t="str">
        <f>IF(DAY(AprSun1)=1,IF(AND(YEAR(AprSun1+24)=カレンダーの年,MONTH(AprSun1+24)=4),AprSun1+24,""),IF(AND(YEAR(AprSun1+31)=カレンダーの年,MONTH(AprSun1+31)=4),AprSun1+31,""))</f>
        <v/>
      </c>
      <c r="E13" s="18" t="str">
        <f>IF(DAY(AprSun1)=1,IF(AND(YEAR(AprSun1+25)=カレンダーの年,MONTH(AprSun1+25)=4),AprSun1+25,""),IF(AND(YEAR(AprSun1+32)=カレンダーの年,MONTH(AprSun1+32)=4),AprSun1+32,""))</f>
        <v/>
      </c>
      <c r="F13" s="18" t="str">
        <f>IF(DAY(AprSun1)=1,IF(AND(YEAR(AprSun1+26)=カレンダーの年,MONTH(AprSun1+26)=4),AprSun1+26,""),IF(AND(YEAR(AprSun1+33)=カレンダーの年,MONTH(AprSun1+33)=4),AprSun1+33,""))</f>
        <v/>
      </c>
      <c r="G13" s="18" t="str">
        <f>IF(DAY(AprSun1)=1,IF(AND(YEAR(AprSun1+27)=カレンダーの年,MONTH(AprSun1+27)=4),AprSun1+27,""),IF(AND(YEAR(AprSun1+34)=カレンダーの年,MONTH(AprSun1+34)=4),AprSun1+34,""))</f>
        <v/>
      </c>
      <c r="H13" s="18" t="str">
        <f>IF(DAY(AprSun1)=1,IF(AND(YEAR(AprSun1+28)=カレンダーの年,MONTH(AprSun1+28)=4),AprSun1+28,""),IF(AND(YEAR(AprSun1+35)=カレンダーの年,MONTH(AprSun1+35)=4),AprSun1+35,""))</f>
        <v/>
      </c>
      <c r="I13" s="11"/>
    </row>
    <row r="14" spans="1:18" ht="64.5" customHeight="1">
      <c r="A14" s="3"/>
      <c r="B14" s="85" t="s">
        <v>104</v>
      </c>
      <c r="C14" s="13"/>
      <c r="D14" s="13"/>
      <c r="E14" s="13"/>
      <c r="F14" s="13"/>
      <c r="G14" s="67"/>
      <c r="H14" s="14"/>
      <c r="I14" s="11"/>
    </row>
    <row r="15" spans="1:18" ht="15" customHeight="1">
      <c r="A15" s="3"/>
      <c r="B15" s="19" t="str">
        <f>IF(DAY(AprSun1)=1,IF(AND(YEAR(AprSun1+29)=カレンダーの年,MONTH(AprSun1+29)=4),AprSun1+29,""),IF(AND(YEAR(AprSun1+36)=カレンダーの年,MONTH(AprSun1+36)=4),AprSun1+36,""))</f>
        <v/>
      </c>
      <c r="C15" s="20" t="str">
        <f>IF(DAY(AprSun1)=1,IF(AND(YEAR(AprSun1+30)=カレンダーの年,MONTH(AprSun1+30)=4),AprSun1+30,""),IF(AND(YEAR(AprSun1+37)=カレンダーの年,MONTH(AprSun1+37)=4),AprSun1+37,""))</f>
        <v/>
      </c>
      <c r="D15" s="135" t="s">
        <v>8</v>
      </c>
      <c r="E15" s="136"/>
      <c r="F15" s="136"/>
      <c r="G15" s="136"/>
      <c r="H15" s="137"/>
      <c r="I15" s="11"/>
    </row>
    <row r="16" spans="1:18" ht="64.5" customHeight="1">
      <c r="A16" s="3"/>
      <c r="B16" s="16"/>
      <c r="C16" s="16"/>
      <c r="D16" s="132" t="s">
        <v>60</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4.9989318521683403E-2"/>
    <pageSetUpPr fitToPage="1"/>
  </sheetPr>
  <dimension ref="A1:R20"/>
  <sheetViews>
    <sheetView showGridLines="0" zoomScale="80" zoomScaleNormal="80" workbookViewId="0">
      <selection activeCell="G8" sqref="G8"/>
    </sheetView>
  </sheetViews>
  <sheetFormatPr defaultColWidth="6.6640625" defaultRowHeight="15"/>
  <cols>
    <col min="1" max="1" width="3.0546875" style="1" customWidth="1"/>
    <col min="2" max="6" width="11.109375" style="1" customWidth="1"/>
    <col min="7" max="8" width="20.218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61</v>
      </c>
      <c r="D2" s="24"/>
      <c r="E2" s="24"/>
      <c r="F2" s="24"/>
      <c r="G2" s="24"/>
      <c r="H2" s="24"/>
      <c r="I2" s="24"/>
      <c r="J2" s="24"/>
    </row>
    <row r="3" spans="1:18" ht="62.25" customHeight="1">
      <c r="A3" s="3"/>
      <c r="B3" s="138" t="str">
        <f>UPPER(TEXT(DATE(カレンダーの年,5,1),"yyyy年m月"))</f>
        <v>2024年5月</v>
      </c>
      <c r="C3" s="138"/>
      <c r="D3" s="138"/>
      <c r="E3" s="138"/>
      <c r="F3" s="138"/>
      <c r="G3" s="62"/>
    </row>
    <row r="4" spans="1:18" s="3" customFormat="1" ht="26.25" customHeight="1">
      <c r="B4" s="6" t="s">
        <v>6</v>
      </c>
      <c r="C4" s="7" t="s">
        <v>0</v>
      </c>
      <c r="D4" s="7" t="s">
        <v>1</v>
      </c>
      <c r="E4" s="7" t="s">
        <v>2</v>
      </c>
      <c r="F4" s="7" t="s">
        <v>3</v>
      </c>
      <c r="G4" s="7" t="s">
        <v>4</v>
      </c>
      <c r="H4" s="8" t="s">
        <v>5</v>
      </c>
      <c r="I4" s="1"/>
      <c r="J4" s="1"/>
      <c r="L4" s="1"/>
      <c r="M4" s="9"/>
      <c r="Q4" s="1"/>
      <c r="R4" s="1"/>
    </row>
    <row r="5" spans="1:18" s="3" customFormat="1" ht="16.5">
      <c r="B5" s="10" t="str">
        <f>IF(DAY(MaySun1)=1,"",IF(AND(YEAR(MaySun1+1)=カレンダーの年,MONTH(MaySun1+1)=5),MaySun1+1,""))</f>
        <v/>
      </c>
      <c r="C5" s="10" t="str">
        <f>IF(DAY(MaySun1)=1,"",IF(AND(YEAR(MaySun1+2)=カレンダーの年,MONTH(MaySun1+2)=5),MaySun1+2,""))</f>
        <v/>
      </c>
      <c r="D5" s="10">
        <f>IF(DAY(MaySun1)=1,"",IF(AND(YEAR(MaySun1+3)=カレンダーの年,MONTH(MaySun1+3)=5),MaySun1+3,""))</f>
        <v>45413</v>
      </c>
      <c r="E5" s="10">
        <f>IF(DAY(MaySun1)=1,"",IF(AND(YEAR(MaySun1+4)=カレンダーの年,MONTH(MaySun1+4)=5),MaySun1+4,""))</f>
        <v>45414</v>
      </c>
      <c r="F5" s="10">
        <f>IF(DAY(MaySun1)=1,"",IF(AND(YEAR(MaySun1+5)=カレンダーの年,MONTH(MaySun1+5)=5),MaySun1+5,""))</f>
        <v>45415</v>
      </c>
      <c r="G5" s="10">
        <f>IF(DAY(MaySun1)=1,"",IF(AND(YEAR(MaySun1+6)=カレンダーの年,MONTH(MaySun1+6)=5),MaySun1+6,""))</f>
        <v>45416</v>
      </c>
      <c r="H5" s="10">
        <f>IF(DAY(MaySun1)=1,IF(AND(YEAR(MaySun1)=カレンダーの年,MONTH(MaySun1)=5),MaySun1,""),IF(AND(YEAR(MaySun1+7)=カレンダーの年,MONTH(MaySun1+7)=5),MaySun1+7,""))</f>
        <v>45417</v>
      </c>
      <c r="I5" s="11"/>
      <c r="K5" s="1"/>
      <c r="L5" s="1"/>
      <c r="M5" s="1"/>
      <c r="Q5" s="12"/>
      <c r="R5" s="1"/>
    </row>
    <row r="6" spans="1:18" s="12" customFormat="1" ht="37.5">
      <c r="A6" s="3"/>
      <c r="B6" s="13"/>
      <c r="C6" s="13"/>
      <c r="D6" s="13"/>
      <c r="E6" s="13"/>
      <c r="F6" s="13"/>
      <c r="G6" s="87" t="s">
        <v>106</v>
      </c>
      <c r="H6" s="14"/>
      <c r="I6" s="11"/>
    </row>
    <row r="7" spans="1:18" ht="16.5">
      <c r="A7" s="3"/>
      <c r="B7" s="15">
        <f>IF(DAY(MaySun1)=1,IF(AND(YEAR(MaySun1+1)=カレンダーの年,MONTH(MaySun1+1)=5),MaySun1+1,""),IF(AND(YEAR(MaySun1+8)=カレンダーの年,MONTH(MaySun1+8)=5),MaySun1+8,""))</f>
        <v>45418</v>
      </c>
      <c r="C7" s="15">
        <f>IF(DAY(MaySun1)=1,IF(AND(YEAR(MaySun1+2)=カレンダーの年,MONTH(MaySun1+2)=5),MaySun1+2,""),IF(AND(YEAR(MaySun1+9)=カレンダーの年,MONTH(MaySun1+9)=5),MaySun1+9,""))</f>
        <v>45419</v>
      </c>
      <c r="D7" s="15">
        <f>IF(DAY(MaySun1)=1,IF(AND(YEAR(MaySun1+3)=カレンダーの年,MONTH(MaySun1+3)=5),MaySun1+3,""),IF(AND(YEAR(MaySun1+10)=カレンダーの年,MONTH(MaySun1+10)=5),MaySun1+10,""))</f>
        <v>45420</v>
      </c>
      <c r="E7" s="15">
        <f>IF(DAY(MaySun1)=1,IF(AND(YEAR(MaySun1+4)=カレンダーの年,MONTH(MaySun1+4)=5),MaySun1+4,""),IF(AND(YEAR(MaySun1+11)=カレンダーの年,MONTH(MaySun1+11)=5),MaySun1+11,""))</f>
        <v>45421</v>
      </c>
      <c r="F7" s="15">
        <f>IF(DAY(MaySun1)=1,IF(AND(YEAR(MaySun1+5)=カレンダーの年,MONTH(MaySun1+5)=5),MaySun1+5,""),IF(AND(YEAR(MaySun1+12)=カレンダーの年,MONTH(MaySun1+12)=5),MaySun1+12,""))</f>
        <v>45422</v>
      </c>
      <c r="G7" s="15">
        <f>IF(DAY(MaySun1)=1,IF(AND(YEAR(MaySun1+6)=カレンダーの年,MONTH(MaySun1+6)=5),MaySun1+6,""),IF(AND(YEAR(MaySun1+13)=カレンダーの年,MONTH(MaySun1+13)=5),MaySun1+13,""))</f>
        <v>45423</v>
      </c>
      <c r="H7" s="15">
        <f>IF(DAY(MaySun1)=1,IF(AND(YEAR(MaySun1+7)=カレンダーの年,MONTH(MaySun1+7)=5),MaySun1+7,""),IF(AND(YEAR(MaySun1+14)=カレンダーの年,MONTH(MaySun1+14)=5),MaySun1+14,""))</f>
        <v>45424</v>
      </c>
      <c r="I7" s="11"/>
    </row>
    <row r="8" spans="1:18" ht="37.5">
      <c r="A8" s="3"/>
      <c r="B8" s="16"/>
      <c r="C8" s="16"/>
      <c r="D8" s="16"/>
      <c r="E8" s="16"/>
      <c r="F8" s="16"/>
      <c r="G8" s="88" t="s">
        <v>108</v>
      </c>
      <c r="H8" s="88" t="s">
        <v>107</v>
      </c>
      <c r="I8" s="11"/>
    </row>
    <row r="9" spans="1:18" ht="16.5">
      <c r="A9" s="3"/>
      <c r="B9" s="18">
        <f>IF(DAY(MaySun1)=1,IF(AND(YEAR(MaySun1+8)=カレンダーの年,MONTH(MaySun1+8)=5),MaySun1+8,""),IF(AND(YEAR(MaySun1+15)=カレンダーの年,MONTH(MaySun1+15)=5),MaySun1+15,""))</f>
        <v>45425</v>
      </c>
      <c r="C9" s="18">
        <f>IF(DAY(MaySun1)=1,IF(AND(YEAR(MaySun1+9)=カレンダーの年,MONTH(MaySun1+9)=5),MaySun1+9,""),IF(AND(YEAR(MaySun1+16)=カレンダーの年,MONTH(MaySun1+16)=5),MaySun1+16,""))</f>
        <v>45426</v>
      </c>
      <c r="D9" s="18">
        <f>IF(DAY(MaySun1)=1,IF(AND(YEAR(MaySun1+10)=カレンダーの年,MONTH(MaySun1+10)=5),MaySun1+10,""),IF(AND(YEAR(MaySun1+17)=カレンダーの年,MONTH(MaySun1+17)=5),MaySun1+17,""))</f>
        <v>45427</v>
      </c>
      <c r="E9" s="18">
        <f>IF(DAY(MaySun1)=1,IF(AND(YEAR(MaySun1+11)=カレンダーの年,MONTH(MaySun1+11)=5),MaySun1+11,""),IF(AND(YEAR(MaySun1+18)=カレンダーの年,MONTH(MaySun1+18)=5),MaySun1+18,""))</f>
        <v>45428</v>
      </c>
      <c r="F9" s="18">
        <f>IF(DAY(MaySun1)=1,IF(AND(YEAR(MaySun1+12)=カレンダーの年,MONTH(MaySun1+12)=5),MaySun1+12,""),IF(AND(YEAR(MaySun1+19)=カレンダーの年,MONTH(MaySun1+19)=5),MaySun1+19,""))</f>
        <v>45429</v>
      </c>
      <c r="G9" s="18">
        <f>IF(DAY(MaySun1)=1,IF(AND(YEAR(MaySun1+13)=カレンダーの年,MONTH(MaySun1+13)=5),MaySun1+13,""),IF(AND(YEAR(MaySun1+20)=カレンダーの年,MONTH(MaySun1+20)=5),MaySun1+20,""))</f>
        <v>45430</v>
      </c>
      <c r="H9" s="18">
        <f>IF(DAY(MaySun1)=1,IF(AND(YEAR(MaySun1+14)=カレンダーの年,MONTH(MaySun1+14)=5),MaySun1+14,""),IF(AND(YEAR(MaySun1+21)=カレンダーの年,MONTH(MaySun1+21)=5),MaySun1+21,""))</f>
        <v>45431</v>
      </c>
      <c r="I9" s="11"/>
    </row>
    <row r="10" spans="1:18" ht="37.5">
      <c r="A10" s="3"/>
      <c r="B10" s="13"/>
      <c r="C10" s="13"/>
      <c r="D10" s="13"/>
      <c r="E10" s="13"/>
      <c r="F10" s="13"/>
      <c r="G10" s="89" t="s">
        <v>107</v>
      </c>
      <c r="H10" s="89" t="s">
        <v>109</v>
      </c>
      <c r="I10" s="11"/>
    </row>
    <row r="11" spans="1:18" ht="16.5">
      <c r="A11" s="3"/>
      <c r="B11" s="19">
        <f>IF(DAY(MaySun1)=1,IF(AND(YEAR(MaySun1+15)=カレンダーの年,MONTH(MaySun1+15)=5),MaySun1+15,""),IF(AND(YEAR(MaySun1+22)=カレンダーの年,MONTH(MaySun1+22)=5),MaySun1+22,""))</f>
        <v>45432</v>
      </c>
      <c r="C11" s="19">
        <f>IF(DAY(MaySun1)=1,IF(AND(YEAR(MaySun1+16)=カレンダーの年,MONTH(MaySun1+16)=5),MaySun1+16,""),IF(AND(YEAR(MaySun1+23)=カレンダーの年,MONTH(MaySun1+23)=5),MaySun1+23,""))</f>
        <v>45433</v>
      </c>
      <c r="D11" s="19">
        <f>IF(DAY(MaySun1)=1,IF(AND(YEAR(MaySun1+17)=カレンダーの年,MONTH(MaySun1+17)=5),MaySun1+17,""),IF(AND(YEAR(MaySun1+24)=カレンダーの年,MONTH(MaySun1+24)=5),MaySun1+24,""))</f>
        <v>45434</v>
      </c>
      <c r="E11" s="19">
        <f>IF(DAY(MaySun1)=1,IF(AND(YEAR(MaySun1+18)=カレンダーの年,MONTH(MaySun1+18)=5),MaySun1+18,""),IF(AND(YEAR(MaySun1+25)=カレンダーの年,MONTH(MaySun1+25)=5),MaySun1+25,""))</f>
        <v>45435</v>
      </c>
      <c r="F11" s="19">
        <f>IF(DAY(MaySun1)=1,IF(AND(YEAR(MaySun1+19)=カレンダーの年,MONTH(MaySun1+19)=5),MaySun1+19,""),IF(AND(YEAR(MaySun1+26)=カレンダーの年,MONTH(MaySun1+26)=5),MaySun1+26,""))</f>
        <v>45436</v>
      </c>
      <c r="G11" s="19">
        <f>IF(DAY(MaySun1)=1,IF(AND(YEAR(MaySun1+20)=カレンダーの年,MONTH(MaySun1+20)=5),MaySun1+20,""),IF(AND(YEAR(MaySun1+27)=カレンダーの年,MONTH(MaySun1+27)=5),MaySun1+27,""))</f>
        <v>45437</v>
      </c>
      <c r="H11" s="19">
        <f>IF(DAY(MaySun1)=1,IF(AND(YEAR(MaySun1+21)=カレンダーの年,MONTH(MaySun1+21)=5),MaySun1+21,""),IF(AND(YEAR(MaySun1+28)=カレンダーの年,MONTH(MaySun1+28)=5),MaySun1+28,""))</f>
        <v>45438</v>
      </c>
      <c r="I11" s="11"/>
    </row>
    <row r="12" spans="1:18" ht="37.5">
      <c r="A12" s="3"/>
      <c r="B12" s="16"/>
      <c r="C12" s="16"/>
      <c r="D12" s="16"/>
      <c r="E12" s="16"/>
      <c r="F12" s="16"/>
      <c r="G12" s="90" t="s">
        <v>110</v>
      </c>
      <c r="H12" s="90" t="s">
        <v>109</v>
      </c>
      <c r="I12" s="11"/>
    </row>
    <row r="13" spans="1:18" ht="16.5">
      <c r="A13" s="3"/>
      <c r="B13" s="18">
        <f>IF(DAY(MaySun1)=1,IF(AND(YEAR(MaySun1+22)=カレンダーの年,MONTH(MaySun1+22)=5),MaySun1+22,""),IF(AND(YEAR(MaySun1+29)=カレンダーの年,MONTH(MaySun1+29)=5),MaySun1+29,""))</f>
        <v>45439</v>
      </c>
      <c r="C13" s="18">
        <f>IF(DAY(MaySun1)=1,IF(AND(YEAR(MaySun1+23)=カレンダーの年,MONTH(MaySun1+23)=5),MaySun1+23,""),IF(AND(YEAR(MaySun1+30)=カレンダーの年,MONTH(MaySun1+30)=5),MaySun1+30,""))</f>
        <v>45440</v>
      </c>
      <c r="D13" s="18">
        <f>IF(DAY(MaySun1)=1,IF(AND(YEAR(MaySun1+24)=カレンダーの年,MONTH(MaySun1+24)=5),MaySun1+24,""),IF(AND(YEAR(MaySun1+31)=カレンダーの年,MONTH(MaySun1+31)=5),MaySun1+31,""))</f>
        <v>45441</v>
      </c>
      <c r="E13" s="18">
        <f>IF(DAY(MaySun1)=1,IF(AND(YEAR(MaySun1+25)=カレンダーの年,MONTH(MaySun1+25)=5),MaySun1+25,""),IF(AND(YEAR(MaySun1+32)=カレンダーの年,MONTH(MaySun1+32)=5),MaySun1+32,""))</f>
        <v>45442</v>
      </c>
      <c r="F13" s="18">
        <f>IF(DAY(MaySun1)=1,IF(AND(YEAR(MaySun1+26)=カレンダーの年,MONTH(MaySun1+26)=5),MaySun1+26,""),IF(AND(YEAR(MaySun1+33)=カレンダーの年,MONTH(MaySun1+33)=5),MaySun1+33,""))</f>
        <v>45443</v>
      </c>
      <c r="G13" s="27" t="str">
        <f>IF(DAY(MaySun1)=1,IF(AND(YEAR(MaySun1+27)=カレンダーの年,MONTH(MaySun1+27)=5),MaySun1+27,""),IF(AND(YEAR(MaySun1+34)=カレンダーの年,MONTH(MaySun1+34)=5),MaySun1+34,""))</f>
        <v/>
      </c>
      <c r="H13" s="18" t="str">
        <f>IF(DAY(MaySun1)=1,IF(AND(YEAR(MaySun1+28)=カレンダーの年,MONTH(MaySun1+28)=5),MaySun1+28,""),IF(AND(YEAR(MaySun1+35)=カレンダーの年,MONTH(MaySun1+35)=5),MaySun1+35,""))</f>
        <v/>
      </c>
      <c r="I13" s="11"/>
    </row>
    <row r="14" spans="1:18" ht="54.85" customHeight="1">
      <c r="A14" s="3"/>
      <c r="B14" s="13"/>
      <c r="C14" s="13"/>
      <c r="D14" s="13"/>
      <c r="E14" s="13"/>
      <c r="F14" s="13"/>
      <c r="G14" s="25"/>
      <c r="H14" s="25"/>
      <c r="I14" s="11"/>
    </row>
    <row r="15" spans="1:18" ht="15" customHeight="1">
      <c r="A15" s="3"/>
      <c r="B15" s="19" t="str">
        <f>IF(DAY(MaySun1)=1,IF(AND(YEAR(MaySun1+29)=カレンダーの年,MONTH(MaySun1+29)=5),MaySun1+29,""),IF(AND(YEAR(MaySun1+36)=カレンダーの年,MONTH(MaySun1+36)=5),MaySun1+36,""))</f>
        <v/>
      </c>
      <c r="C15" s="20" t="str">
        <f>IF(DAY(MaySun1)=1,IF(AND(YEAR(MaySun1+30)=カレンダーの年,MONTH(MaySun1+30)=5),MaySun1+30,""),IF(AND(YEAR(MaySun1+37)=カレンダーの年,MONTH(MaySun1+37)=5),MaySun1+37,""))</f>
        <v/>
      </c>
      <c r="D15" s="135" t="s">
        <v>8</v>
      </c>
      <c r="E15" s="136"/>
      <c r="F15" s="136"/>
      <c r="G15" s="136"/>
      <c r="H15" s="137"/>
      <c r="I15" s="11"/>
    </row>
    <row r="16" spans="1:18" ht="64.5" customHeight="1">
      <c r="A16" s="3"/>
      <c r="B16" s="16"/>
      <c r="C16" s="16"/>
      <c r="D16" s="132" t="s">
        <v>76</v>
      </c>
      <c r="E16" s="133"/>
      <c r="F16" s="133"/>
      <c r="G16" s="133"/>
      <c r="H16" s="134"/>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0"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pageSetUpPr fitToPage="1"/>
  </sheetPr>
  <dimension ref="A1:R20"/>
  <sheetViews>
    <sheetView showGridLines="0" zoomScale="70" zoomScaleNormal="70" workbookViewId="0">
      <selection activeCell="H8" sqref="H8"/>
    </sheetView>
  </sheetViews>
  <sheetFormatPr defaultColWidth="6.6640625" defaultRowHeight="15"/>
  <cols>
    <col min="1" max="1" width="3.0546875" style="1" customWidth="1"/>
    <col min="2" max="6" width="11.27734375" style="1" customWidth="1"/>
    <col min="7" max="8" width="20.609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114</v>
      </c>
      <c r="D2" s="24"/>
      <c r="E2" s="24"/>
      <c r="F2" s="24"/>
      <c r="G2" s="24"/>
      <c r="H2" s="24"/>
      <c r="I2" s="24"/>
      <c r="J2" s="24"/>
    </row>
    <row r="3" spans="1:18" ht="62.25" customHeight="1">
      <c r="A3" s="3"/>
      <c r="B3" s="138" t="str">
        <f>UPPER(TEXT(DATE(カレンダーの年,6,1),"yyyy年m月"))</f>
        <v>2024年6月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t="str">
        <f>IF(DAY(JunSun1)=1,"",IF(AND(YEAR(JunSun1+1)=カレンダーの年,MONTH(JunSun1+1)=6),JunSun1+1,""))</f>
        <v/>
      </c>
      <c r="C5" s="10" t="str">
        <f>IF(DAY(JunSun1)=1,"",IF(AND(YEAR(JunSun1+2)=カレンダーの年,MONTH(JunSun1+2)=6),JunSun1+2,""))</f>
        <v/>
      </c>
      <c r="D5" s="10" t="str">
        <f>IF(DAY(JunSun1)=1,"",IF(AND(YEAR(JunSun1+3)=カレンダーの年,MONTH(JunSun1+3)=6),JunSun1+3,""))</f>
        <v/>
      </c>
      <c r="E5" s="10" t="str">
        <f>IF(DAY(JunSun1)=1,"",IF(AND(YEAR(JunSun1+4)=カレンダーの年,MONTH(JunSun1+4)=6),JunSun1+4,""))</f>
        <v/>
      </c>
      <c r="F5" s="10" t="str">
        <f>IF(DAY(JunSun1)=1,"",IF(AND(YEAR(JunSun1+5)=カレンダーの年,MONTH(JunSun1+5)=6),JunSun1+5,""))</f>
        <v/>
      </c>
      <c r="G5" s="10">
        <f>IF(DAY(JunSun1)=1,"",IF(AND(YEAR(JunSun1+6)=カレンダーの年,MONTH(JunSun1+6)=6),JunSun1+6,""))</f>
        <v>45444</v>
      </c>
      <c r="H5" s="10">
        <f>IF(DAY(JunSun1)=1,IF(AND(YEAR(JunSun1)=カレンダーの年,MONTH(JunSun1)=6),JunSun1,""),IF(AND(YEAR(JunSun1+7)=カレンダーの年,MONTH(JunSun1+7)=6),JunSun1+7,""))</f>
        <v>45445</v>
      </c>
      <c r="I5" s="11"/>
      <c r="K5" s="1"/>
      <c r="L5" s="1"/>
      <c r="M5" s="1"/>
      <c r="Q5" s="12"/>
      <c r="R5" s="1"/>
    </row>
    <row r="6" spans="1:18" s="12" customFormat="1" ht="44.25">
      <c r="A6" s="3"/>
      <c r="B6" s="13"/>
      <c r="C6" s="13"/>
      <c r="D6" s="13"/>
      <c r="E6" s="13"/>
      <c r="F6" s="13"/>
      <c r="G6" s="67" t="s">
        <v>107</v>
      </c>
      <c r="H6" s="69" t="s">
        <v>112</v>
      </c>
      <c r="I6" s="11"/>
    </row>
    <row r="7" spans="1:18" ht="15" customHeight="1">
      <c r="A7" s="3"/>
      <c r="B7" s="15">
        <f>IF(DAY(JunSun1)=1,IF(AND(YEAR(JunSun1+1)=カレンダーの年,MONTH(JunSun1+1)=6),JunSun1+1,""),IF(AND(YEAR(JunSun1+8)=カレンダーの年,MONTH(JunSun1+8)=6),JunSun1+8,""))</f>
        <v>45446</v>
      </c>
      <c r="C7" s="15">
        <f>IF(DAY(JunSun1)=1,IF(AND(YEAR(JunSun1+2)=カレンダーの年,MONTH(JunSun1+2)=6),JunSun1+2,""),IF(AND(YEAR(JunSun1+9)=カレンダーの年,MONTH(JunSun1+9)=6),JunSun1+9,""))</f>
        <v>45447</v>
      </c>
      <c r="D7" s="15">
        <f>IF(DAY(JunSun1)=1,IF(AND(YEAR(JunSun1+3)=カレンダーの年,MONTH(JunSun1+3)=6),JunSun1+3,""),IF(AND(YEAR(JunSun1+10)=カレンダーの年,MONTH(JunSun1+10)=6),JunSun1+10,""))</f>
        <v>45448</v>
      </c>
      <c r="E7" s="15">
        <f>IF(DAY(JunSun1)=1,IF(AND(YEAR(JunSun1+4)=カレンダーの年,MONTH(JunSun1+4)=6),JunSun1+4,""),IF(AND(YEAR(JunSun1+11)=カレンダーの年,MONTH(JunSun1+11)=6),JunSun1+11,""))</f>
        <v>45449</v>
      </c>
      <c r="F7" s="15">
        <f>IF(DAY(JunSun1)=1,IF(AND(YEAR(JunSun1+5)=カレンダーの年,MONTH(JunSun1+5)=6),JunSun1+5,""),IF(AND(YEAR(JunSun1+12)=カレンダーの年,MONTH(JunSun1+12)=6),JunSun1+12,""))</f>
        <v>45450</v>
      </c>
      <c r="G7" s="15">
        <f>IF(DAY(JunSun1)=1,IF(AND(YEAR(JunSun1+6)=カレンダーの年,MONTH(JunSun1+6)=6),JunSun1+6,""),IF(AND(YEAR(JunSun1+13)=カレンダーの年,MONTH(JunSun1+13)=6),JunSun1+13,""))</f>
        <v>45451</v>
      </c>
      <c r="H7" s="15">
        <f>IF(DAY(JunSun1)=1,IF(AND(YEAR(JunSun1+7)=カレンダーの年,MONTH(JunSun1+7)=6),JunSun1+7,""),IF(AND(YEAR(JunSun1+14)=カレンダーの年,MONTH(JunSun1+14)=6),JunSun1+14,""))</f>
        <v>45452</v>
      </c>
      <c r="I7" s="11"/>
    </row>
    <row r="8" spans="1:18" ht="44.25">
      <c r="A8" s="3"/>
      <c r="B8" s="16"/>
      <c r="C8" s="16"/>
      <c r="D8" s="16"/>
      <c r="E8" s="16"/>
      <c r="F8" s="16"/>
      <c r="G8" s="84" t="s">
        <v>107</v>
      </c>
      <c r="H8" s="68" t="s">
        <v>113</v>
      </c>
      <c r="I8" s="11"/>
    </row>
    <row r="9" spans="1:18" ht="15" customHeight="1">
      <c r="A9" s="3"/>
      <c r="B9" s="18">
        <f>IF(DAY(JunSun1)=1,IF(AND(YEAR(JunSun1+8)=カレンダーの年,MONTH(JunSun1+8)=6),JunSun1+8,""),IF(AND(YEAR(JunSun1+15)=カレンダーの年,MONTH(JunSun1+15)=6),JunSun1+15,""))</f>
        <v>45453</v>
      </c>
      <c r="C9" s="18">
        <f>IF(DAY(JunSun1)=1,IF(AND(YEAR(JunSun1+9)=カレンダーの年,MONTH(JunSun1+9)=6),JunSun1+9,""),IF(AND(YEAR(JunSun1+16)=カレンダーの年,MONTH(JunSun1+16)=6),JunSun1+16,""))</f>
        <v>45454</v>
      </c>
      <c r="D9" s="18">
        <f>IF(DAY(JunSun1)=1,IF(AND(YEAR(JunSun1+10)=カレンダーの年,MONTH(JunSun1+10)=6),JunSun1+10,""),IF(AND(YEAR(JunSun1+17)=カレンダーの年,MONTH(JunSun1+17)=6),JunSun1+17,""))</f>
        <v>45455</v>
      </c>
      <c r="E9" s="18">
        <f>IF(DAY(JunSun1)=1,IF(AND(YEAR(JunSun1+11)=カレンダーの年,MONTH(JunSun1+11)=6),JunSun1+11,""),IF(AND(YEAR(JunSun1+18)=カレンダーの年,MONTH(JunSun1+18)=6),JunSun1+18,""))</f>
        <v>45456</v>
      </c>
      <c r="F9" s="18">
        <f>IF(DAY(JunSun1)=1,IF(AND(YEAR(JunSun1+12)=カレンダーの年,MONTH(JunSun1+12)=6),JunSun1+12,""),IF(AND(YEAR(JunSun1+19)=カレンダーの年,MONTH(JunSun1+19)=6),JunSun1+19,""))</f>
        <v>45457</v>
      </c>
      <c r="G9" s="18">
        <f>IF(DAY(JunSun1)=1,IF(AND(YEAR(JunSun1+13)=カレンダーの年,MONTH(JunSun1+13)=6),JunSun1+13,""),IF(AND(YEAR(JunSun1+20)=カレンダーの年,MONTH(JunSun1+20)=6),JunSun1+20,""))</f>
        <v>45458</v>
      </c>
      <c r="H9" s="18">
        <f>IF(DAY(JunSun1)=1,IF(AND(YEAR(JunSun1+14)=カレンダーの年,MONTH(JunSun1+14)=6),JunSun1+14,""),IF(AND(YEAR(JunSun1+21)=カレンダーの年,MONTH(JunSun1+21)=6),JunSun1+21,""))</f>
        <v>45459</v>
      </c>
      <c r="I9" s="11"/>
    </row>
    <row r="10" spans="1:18" ht="44.25">
      <c r="A10" s="3"/>
      <c r="B10" s="13"/>
      <c r="C10" s="13"/>
      <c r="D10" s="13"/>
      <c r="E10" s="13"/>
      <c r="F10" s="13"/>
      <c r="G10" s="67" t="s">
        <v>107</v>
      </c>
      <c r="H10" s="69" t="s">
        <v>111</v>
      </c>
      <c r="I10" s="11"/>
    </row>
    <row r="11" spans="1:18" ht="15" customHeight="1">
      <c r="A11" s="3"/>
      <c r="B11" s="19">
        <f>IF(DAY(JunSun1)=1,IF(AND(YEAR(JunSun1+15)=カレンダーの年,MONTH(JunSun1+15)=6),JunSun1+15,""),IF(AND(YEAR(JunSun1+22)=カレンダーの年,MONTH(JunSun1+22)=6),JunSun1+22,""))</f>
        <v>45460</v>
      </c>
      <c r="C11" s="19">
        <f>IF(DAY(JunSun1)=1,IF(AND(YEAR(JunSun1+16)=カレンダーの年,MONTH(JunSun1+16)=6),JunSun1+16,""),IF(AND(YEAR(JunSun1+23)=カレンダーの年,MONTH(JunSun1+23)=6),JunSun1+23,""))</f>
        <v>45461</v>
      </c>
      <c r="D11" s="19">
        <f>IF(DAY(JunSun1)=1,IF(AND(YEAR(JunSun1+17)=カレンダーの年,MONTH(JunSun1+17)=6),JunSun1+17,""),IF(AND(YEAR(JunSun1+24)=カレンダーの年,MONTH(JunSun1+24)=6),JunSun1+24,""))</f>
        <v>45462</v>
      </c>
      <c r="E11" s="19">
        <f>IF(DAY(JunSun1)=1,IF(AND(YEAR(JunSun1+18)=カレンダーの年,MONTH(JunSun1+18)=6),JunSun1+18,""),IF(AND(YEAR(JunSun1+25)=カレンダーの年,MONTH(JunSun1+25)=6),JunSun1+25,""))</f>
        <v>45463</v>
      </c>
      <c r="F11" s="19">
        <f>IF(DAY(JunSun1)=1,IF(AND(YEAR(JunSun1+19)=カレンダーの年,MONTH(JunSun1+19)=6),JunSun1+19,""),IF(AND(YEAR(JunSun1+26)=カレンダーの年,MONTH(JunSun1+26)=6),JunSun1+26,""))</f>
        <v>45464</v>
      </c>
      <c r="G11" s="19">
        <f>IF(DAY(JunSun1)=1,IF(AND(YEAR(JunSun1+20)=カレンダーの年,MONTH(JunSun1+20)=6),JunSun1+20,""),IF(AND(YEAR(JunSun1+27)=カレンダーの年,MONTH(JunSun1+27)=6),JunSun1+27,""))</f>
        <v>45465</v>
      </c>
      <c r="H11" s="19">
        <f>IF(DAY(JunSun1)=1,IF(AND(YEAR(JunSun1+21)=カレンダーの年,MONTH(JunSun1+21)=6),JunSun1+21,""),IF(AND(YEAR(JunSun1+28)=カレンダーの年,MONTH(JunSun1+28)=6),JunSun1+28,""))</f>
        <v>45466</v>
      </c>
      <c r="I11" s="11"/>
    </row>
    <row r="12" spans="1:18" ht="44.25">
      <c r="A12" s="3"/>
      <c r="B12" s="16"/>
      <c r="C12" s="16"/>
      <c r="D12" s="16"/>
      <c r="E12" s="16"/>
      <c r="F12" s="16"/>
      <c r="G12" s="84" t="s">
        <v>107</v>
      </c>
      <c r="H12" s="68" t="s">
        <v>111</v>
      </c>
      <c r="I12" s="11"/>
    </row>
    <row r="13" spans="1:18" ht="15" customHeight="1">
      <c r="A13" s="3"/>
      <c r="B13" s="18">
        <f>IF(DAY(JunSun1)=1,IF(AND(YEAR(JunSun1+22)=カレンダーの年,MONTH(JunSun1+22)=6),JunSun1+22,""),IF(AND(YEAR(JunSun1+29)=カレンダーの年,MONTH(JunSun1+29)=6),JunSun1+29,""))</f>
        <v>45467</v>
      </c>
      <c r="C13" s="18">
        <f>IF(DAY(JunSun1)=1,IF(AND(YEAR(JunSun1+23)=カレンダーの年,MONTH(JunSun1+23)=6),JunSun1+23,""),IF(AND(YEAR(JunSun1+30)=カレンダーの年,MONTH(JunSun1+30)=6),JunSun1+30,""))</f>
        <v>45468</v>
      </c>
      <c r="D13" s="18">
        <f>IF(DAY(JunSun1)=1,IF(AND(YEAR(JunSun1+24)=カレンダーの年,MONTH(JunSun1+24)=6),JunSun1+24,""),IF(AND(YEAR(JunSun1+31)=カレンダーの年,MONTH(JunSun1+31)=6),JunSun1+31,""))</f>
        <v>45469</v>
      </c>
      <c r="E13" s="18">
        <f>IF(DAY(JunSun1)=1,IF(AND(YEAR(JunSun1+25)=カレンダーの年,MONTH(JunSun1+25)=6),JunSun1+25,""),IF(AND(YEAR(JunSun1+32)=カレンダーの年,MONTH(JunSun1+32)=6),JunSun1+32,""))</f>
        <v>45470</v>
      </c>
      <c r="F13" s="18">
        <f>IF(DAY(JunSun1)=1,IF(AND(YEAR(JunSun1+26)=カレンダーの年,MONTH(JunSun1+26)=6),JunSun1+26,""),IF(AND(YEAR(JunSun1+33)=カレンダーの年,MONTH(JunSun1+33)=6),JunSun1+33,""))</f>
        <v>45471</v>
      </c>
      <c r="G13" s="18">
        <f>IF(DAY(JunSun1)=1,IF(AND(YEAR(JunSun1+27)=カレンダーの年,MONTH(JunSun1+27)=6),JunSun1+27,""),IF(AND(YEAR(JunSun1+34)=カレンダーの年,MONTH(JunSun1+34)=6),JunSun1+34,""))</f>
        <v>45472</v>
      </c>
      <c r="H13" s="18">
        <f>IF(DAY(JunSun1)=1,IF(AND(YEAR(JunSun1+28)=カレンダーの年,MONTH(JunSun1+28)=6),JunSun1+28,""),IF(AND(YEAR(JunSun1+35)=カレンダーの年,MONTH(JunSun1+35)=6),JunSun1+35,""))</f>
        <v>45473</v>
      </c>
      <c r="I13" s="11"/>
    </row>
    <row r="14" spans="1:18" ht="44.25">
      <c r="A14" s="3"/>
      <c r="B14" s="13"/>
      <c r="C14" s="13"/>
      <c r="D14" s="13"/>
      <c r="E14" s="13"/>
      <c r="F14" s="13"/>
      <c r="G14" s="69" t="s">
        <v>107</v>
      </c>
      <c r="H14" s="69" t="s">
        <v>111</v>
      </c>
      <c r="I14" s="11"/>
    </row>
    <row r="15" spans="1:18" ht="15" customHeight="1">
      <c r="A15" s="3"/>
      <c r="B15" s="19" t="str">
        <f>IF(DAY(JunSun1)=1,IF(AND(YEAR(JunSun1+29)=カレンダーの年,MONTH(JunSun1+29)=6),JunSun1+29,""),IF(AND(YEAR(JunSun1+36)=カレンダーの年,MONTH(JunSun1+36)=6),JunSun1+36,""))</f>
        <v/>
      </c>
      <c r="C15" s="20" t="str">
        <f>IF(DAY(JunSun1)=1,IF(AND(YEAR(JunSun1+30)=カレンダーの年,MONTH(JunSun1+30)=6),JunSun1+30,""),IF(AND(YEAR(JunSun1+37)=カレンダーの年,MONTH(JunSun1+37)=6),JunSun1+37,""))</f>
        <v/>
      </c>
      <c r="D15" s="135" t="s">
        <v>8</v>
      </c>
      <c r="E15" s="136"/>
      <c r="F15" s="136"/>
      <c r="G15" s="136"/>
      <c r="H15" s="137"/>
      <c r="I15" s="11"/>
    </row>
    <row r="16" spans="1:18" ht="64.5" customHeight="1">
      <c r="A16" s="3"/>
      <c r="B16" s="16"/>
      <c r="C16" s="16"/>
      <c r="D16" s="132" t="s">
        <v>11</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8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34998626667073579"/>
    <pageSetUpPr fitToPage="1"/>
  </sheetPr>
  <dimension ref="A1:R20"/>
  <sheetViews>
    <sheetView showGridLines="0" zoomScale="80" zoomScaleNormal="80" workbookViewId="0">
      <selection activeCell="G8" sqref="G8"/>
    </sheetView>
  </sheetViews>
  <sheetFormatPr defaultColWidth="6.6640625" defaultRowHeight="15"/>
  <cols>
    <col min="1" max="1" width="3.0546875" style="1" customWidth="1"/>
    <col min="2" max="6" width="11.0546875" style="1" customWidth="1"/>
    <col min="7" max="8" width="20.77734375" style="1" customWidth="1"/>
    <col min="9" max="9" width="13.77734375" style="1" customWidth="1"/>
    <col min="10" max="10" width="12.6640625" style="1" customWidth="1"/>
    <col min="11" max="11" width="2.0546875" style="1" customWidth="1"/>
    <col min="12" max="12" width="11.77734375" style="1" customWidth="1"/>
    <col min="13" max="13" width="11.27734375" style="1" customWidth="1"/>
    <col min="14" max="16384" width="6.6640625" style="1"/>
  </cols>
  <sheetData>
    <row r="1" spans="1:18" ht="14.25" customHeight="1">
      <c r="A1" s="3"/>
    </row>
    <row r="2" spans="1:18" ht="30" customHeight="1">
      <c r="A2" s="3"/>
      <c r="B2" s="24" t="s">
        <v>10</v>
      </c>
      <c r="C2" s="24" t="s">
        <v>77</v>
      </c>
      <c r="D2" s="24"/>
      <c r="E2" s="24"/>
      <c r="F2" s="24"/>
      <c r="G2" s="24"/>
      <c r="H2" s="24"/>
      <c r="I2" s="24"/>
      <c r="J2" s="24"/>
    </row>
    <row r="3" spans="1:18" ht="62.25" customHeight="1">
      <c r="A3" s="3"/>
      <c r="B3" s="138" t="str">
        <f>UPPER(TEXT(DATE(カレンダーの年,7,1),"yyyy年m月"))</f>
        <v>2024年7月</v>
      </c>
      <c r="C3" s="138"/>
      <c r="D3" s="138"/>
      <c r="E3" s="138"/>
      <c r="F3" s="138"/>
    </row>
    <row r="4" spans="1:18" s="3" customFormat="1" ht="26.25" customHeight="1">
      <c r="B4" s="6" t="s">
        <v>6</v>
      </c>
      <c r="C4" s="7" t="s">
        <v>0</v>
      </c>
      <c r="D4" s="7" t="s">
        <v>1</v>
      </c>
      <c r="E4" s="7" t="s">
        <v>2</v>
      </c>
      <c r="F4" s="7" t="s">
        <v>3</v>
      </c>
      <c r="G4" s="7" t="s">
        <v>4</v>
      </c>
      <c r="H4" s="8" t="s">
        <v>5</v>
      </c>
      <c r="I4" s="1"/>
      <c r="J4" s="1"/>
      <c r="L4" s="1"/>
      <c r="M4" s="9"/>
      <c r="Q4" s="1"/>
      <c r="R4" s="1"/>
    </row>
    <row r="5" spans="1:18" s="3" customFormat="1" ht="15" customHeight="1">
      <c r="B5" s="10">
        <f>IF(DAY(JulSun1)=1,"",IF(AND(YEAR(JulSun1+1)=カレンダーの年,MONTH(JulSun1+1)=7),JulSun1+1,""))</f>
        <v>45474</v>
      </c>
      <c r="C5" s="10">
        <f>IF(DAY(JulSun1)=1,"",IF(AND(YEAR(JulSun1+2)=カレンダーの年,MONTH(JulSun1+2)=7),JulSun1+2,""))</f>
        <v>45475</v>
      </c>
      <c r="D5" s="10">
        <f>IF(DAY(JulSun1)=1,"",IF(AND(YEAR(JulSun1+3)=カレンダーの年,MONTH(JulSun1+3)=7),JulSun1+3,""))</f>
        <v>45476</v>
      </c>
      <c r="E5" s="10">
        <f>IF(DAY(JulSun1)=1,"",IF(AND(YEAR(JulSun1+4)=カレンダーの年,MONTH(JulSun1+4)=7),JulSun1+4,""))</f>
        <v>45477</v>
      </c>
      <c r="F5" s="10">
        <f>IF(DAY(JulSun1)=1,"",IF(AND(YEAR(JulSun1+5)=カレンダーの年,MONTH(JulSun1+5)=7),JulSun1+5,""))</f>
        <v>45478</v>
      </c>
      <c r="G5" s="10">
        <f>IF(DAY(JulSun1)=1,"",IF(AND(YEAR(JulSun1+6)=カレンダーの年,MONTH(JulSun1+6)=7),JulSun1+6,""))</f>
        <v>45479</v>
      </c>
      <c r="H5" s="10">
        <f>IF(DAY(JulSun1)=1,IF(AND(YEAR(JulSun1)=カレンダーの年,MONTH(JulSun1)=7),JulSun1,""),IF(AND(YEAR(JulSun1+7)=カレンダーの年,MONTH(JulSun1+7)=7),JulSun1+7,""))</f>
        <v>45480</v>
      </c>
      <c r="I5" s="11"/>
      <c r="K5" s="1"/>
      <c r="L5" s="1"/>
      <c r="M5" s="1"/>
      <c r="Q5" s="12"/>
      <c r="R5" s="1"/>
    </row>
    <row r="6" spans="1:18" s="12" customFormat="1" ht="64.5" customHeight="1">
      <c r="A6" s="3"/>
      <c r="B6" s="13"/>
      <c r="C6" s="13"/>
      <c r="D6" s="13"/>
      <c r="E6" s="13"/>
      <c r="F6" s="13"/>
      <c r="G6" s="69" t="s">
        <v>115</v>
      </c>
      <c r="H6" s="67" t="s">
        <v>118</v>
      </c>
      <c r="I6" s="11"/>
    </row>
    <row r="7" spans="1:18" ht="15" customHeight="1">
      <c r="A7" s="3"/>
      <c r="B7" s="15">
        <f>IF(DAY(JulSun1)=1,IF(AND(YEAR(JulSun1+1)=カレンダーの年,MONTH(JulSun1+1)=7),JulSun1+1,""),IF(AND(YEAR(JulSun1+8)=カレンダーの年,MONTH(JulSun1+8)=7),JulSun1+8,""))</f>
        <v>45481</v>
      </c>
      <c r="C7" s="15">
        <f>IF(DAY(JulSun1)=1,IF(AND(YEAR(JulSun1+2)=カレンダーの年,MONTH(JulSun1+2)=7),JulSun1+2,""),IF(AND(YEAR(JulSun1+9)=カレンダーの年,MONTH(JulSun1+9)=7),JulSun1+9,""))</f>
        <v>45482</v>
      </c>
      <c r="D7" s="15">
        <f>IF(DAY(JulSun1)=1,IF(AND(YEAR(JulSun1+3)=カレンダーの年,MONTH(JulSun1+3)=7),JulSun1+3,""),IF(AND(YEAR(JulSun1+10)=カレンダーの年,MONTH(JulSun1+10)=7),JulSun1+10,""))</f>
        <v>45483</v>
      </c>
      <c r="E7" s="15">
        <f>IF(DAY(JulSun1)=1,IF(AND(YEAR(JulSun1+4)=カレンダーの年,MONTH(JulSun1+4)=7),JulSun1+4,""),IF(AND(YEAR(JulSun1+11)=カレンダーの年,MONTH(JulSun1+11)=7),JulSun1+11,""))</f>
        <v>45484</v>
      </c>
      <c r="F7" s="15">
        <f>IF(DAY(JulSun1)=1,IF(AND(YEAR(JulSun1+5)=カレンダーの年,MONTH(JulSun1+5)=7),JulSun1+5,""),IF(AND(YEAR(JulSun1+12)=カレンダーの年,MONTH(JulSun1+12)=7),JulSun1+12,""))</f>
        <v>45485</v>
      </c>
      <c r="G7" s="15">
        <f>IF(DAY(JulSun1)=1,IF(AND(YEAR(JulSun1+6)=カレンダーの年,MONTH(JulSun1+6)=7),JulSun1+6,""),IF(AND(YEAR(JulSun1+13)=カレンダーの年,MONTH(JulSun1+13)=7),JulSun1+13,""))</f>
        <v>45486</v>
      </c>
      <c r="H7" s="15">
        <f>IF(DAY(JulSun1)=1,IF(AND(YEAR(JulSun1+7)=カレンダーの年,MONTH(JulSun1+7)=7),JulSun1+7,""),IF(AND(YEAR(JulSun1+14)=カレンダーの年,MONTH(JulSun1+14)=7),JulSun1+14,""))</f>
        <v>45487</v>
      </c>
      <c r="I7" s="11"/>
    </row>
    <row r="8" spans="1:18" ht="64.5" customHeight="1">
      <c r="A8" s="3"/>
      <c r="B8" s="16"/>
      <c r="C8" s="16"/>
      <c r="D8" s="16"/>
      <c r="E8" s="16"/>
      <c r="F8" s="16"/>
      <c r="G8" s="68" t="s">
        <v>119</v>
      </c>
      <c r="H8" s="68" t="s">
        <v>117</v>
      </c>
      <c r="I8" s="11"/>
    </row>
    <row r="9" spans="1:18" ht="15" customHeight="1">
      <c r="A9" s="3"/>
      <c r="B9" s="18">
        <f>IF(DAY(JulSun1)=1,IF(AND(YEAR(JulSun1+8)=カレンダーの年,MONTH(JulSun1+8)=7),JulSun1+8,""),IF(AND(YEAR(JulSun1+15)=カレンダーの年,MONTH(JulSun1+15)=7),JulSun1+15,""))</f>
        <v>45488</v>
      </c>
      <c r="C9" s="18">
        <f>IF(DAY(JulSun1)=1,IF(AND(YEAR(JulSun1+9)=カレンダーの年,MONTH(JulSun1+9)=7),JulSun1+9,""),IF(AND(YEAR(JulSun1+16)=カレンダーの年,MONTH(JulSun1+16)=7),JulSun1+16,""))</f>
        <v>45489</v>
      </c>
      <c r="D9" s="18">
        <f>IF(DAY(JulSun1)=1,IF(AND(YEAR(JulSun1+10)=カレンダーの年,MONTH(JulSun1+10)=7),JulSun1+10,""),IF(AND(YEAR(JulSun1+17)=カレンダーの年,MONTH(JulSun1+17)=7),JulSun1+17,""))</f>
        <v>45490</v>
      </c>
      <c r="E9" s="18">
        <f>IF(DAY(JulSun1)=1,IF(AND(YEAR(JulSun1+11)=カレンダーの年,MONTH(JulSun1+11)=7),JulSun1+11,""),IF(AND(YEAR(JulSun1+18)=カレンダーの年,MONTH(JulSun1+18)=7),JulSun1+18,""))</f>
        <v>45491</v>
      </c>
      <c r="F9" s="18">
        <f>IF(DAY(JulSun1)=1,IF(AND(YEAR(JulSun1+12)=カレンダーの年,MONTH(JulSun1+12)=7),JulSun1+12,""),IF(AND(YEAR(JulSun1+19)=カレンダーの年,MONTH(JulSun1+19)=7),JulSun1+19,""))</f>
        <v>45492</v>
      </c>
      <c r="G9" s="18">
        <f>IF(DAY(JulSun1)=1,IF(AND(YEAR(JulSun1+13)=カレンダーの年,MONTH(JulSun1+13)=7),JulSun1+13,""),IF(AND(YEAR(JulSun1+20)=カレンダーの年,MONTH(JulSun1+20)=7),JulSun1+20,""))</f>
        <v>45493</v>
      </c>
      <c r="H9" s="18">
        <f>IF(DAY(JulSun1)=1,IF(AND(YEAR(JulSun1+14)=カレンダーの年,MONTH(JulSun1+14)=7),JulSun1+14,""),IF(AND(YEAR(JulSun1+21)=カレンダーの年,MONTH(JulSun1+21)=7),JulSun1+21,""))</f>
        <v>45494</v>
      </c>
      <c r="I9" s="11"/>
    </row>
    <row r="10" spans="1:18" ht="64.5" customHeight="1">
      <c r="A10" s="3"/>
      <c r="B10" s="13"/>
      <c r="C10" s="13"/>
      <c r="D10" s="13"/>
      <c r="E10" s="13"/>
      <c r="F10" s="13"/>
      <c r="G10" s="69" t="s">
        <v>116</v>
      </c>
      <c r="H10" s="67" t="s">
        <v>118</v>
      </c>
      <c r="I10" s="11"/>
    </row>
    <row r="11" spans="1:18" ht="15" customHeight="1">
      <c r="A11" s="3"/>
      <c r="B11" s="19">
        <f>IF(DAY(JulSun1)=1,IF(AND(YEAR(JulSun1+15)=カレンダーの年,MONTH(JulSun1+15)=7),JulSun1+15,""),IF(AND(YEAR(JulSun1+22)=カレンダーの年,MONTH(JulSun1+22)=7),JulSun1+22,""))</f>
        <v>45495</v>
      </c>
      <c r="C11" s="19">
        <f>IF(DAY(JulSun1)=1,IF(AND(YEAR(JulSun1+16)=カレンダーの年,MONTH(JulSun1+16)=7),JulSun1+16,""),IF(AND(YEAR(JulSun1+23)=カレンダーの年,MONTH(JulSun1+23)=7),JulSun1+23,""))</f>
        <v>45496</v>
      </c>
      <c r="D11" s="19">
        <f>IF(DAY(JulSun1)=1,IF(AND(YEAR(JulSun1+17)=カレンダーの年,MONTH(JulSun1+17)=7),JulSun1+17,""),IF(AND(YEAR(JulSun1+24)=カレンダーの年,MONTH(JulSun1+24)=7),JulSun1+24,""))</f>
        <v>45497</v>
      </c>
      <c r="E11" s="19">
        <f>IF(DAY(JulSun1)=1,IF(AND(YEAR(JulSun1+18)=カレンダーの年,MONTH(JulSun1+18)=7),JulSun1+18,""),IF(AND(YEAR(JulSun1+25)=カレンダーの年,MONTH(JulSun1+25)=7),JulSun1+25,""))</f>
        <v>45498</v>
      </c>
      <c r="F11" s="19">
        <f>IF(DAY(JulSun1)=1,IF(AND(YEAR(JulSun1+19)=カレンダーの年,MONTH(JulSun1+19)=7),JulSun1+19,""),IF(AND(YEAR(JulSun1+26)=カレンダーの年,MONTH(JulSun1+26)=7),JulSun1+26,""))</f>
        <v>45499</v>
      </c>
      <c r="G11" s="19">
        <f>IF(DAY(JulSun1)=1,IF(AND(YEAR(JulSun1+20)=カレンダーの年,MONTH(JulSun1+20)=7),JulSun1+20,""),IF(AND(YEAR(JulSun1+27)=カレンダーの年,MONTH(JulSun1+27)=7),JulSun1+27,""))</f>
        <v>45500</v>
      </c>
      <c r="H11" s="19">
        <f>IF(DAY(JulSun1)=1,IF(AND(YEAR(JulSun1+20)=カレンダーの年,MONTH(JulSun1+20)=7),JulSun1+20,""),IF(AND(YEAR(JulSun1+27)=カレンダーの年,MONTH(JulSun1+27)=7),JulSun1+27,""))</f>
        <v>45500</v>
      </c>
      <c r="I11" s="11"/>
    </row>
    <row r="12" spans="1:18" ht="64.5" customHeight="1">
      <c r="A12" s="3"/>
      <c r="B12" s="59"/>
      <c r="C12" s="16"/>
      <c r="D12" s="16"/>
      <c r="E12" s="16"/>
      <c r="F12" s="16"/>
      <c r="G12" s="68" t="s">
        <v>116</v>
      </c>
      <c r="H12" s="84" t="s">
        <v>120</v>
      </c>
      <c r="I12" s="11"/>
    </row>
    <row r="13" spans="1:18" ht="15" customHeight="1">
      <c r="A13" s="3"/>
      <c r="B13" s="18">
        <f>IF(DAY(JulSun1)=1,IF(AND(YEAR(JulSun1+22)=カレンダーの年,MONTH(JulSun1+22)=7),JulSun1+22,""),IF(AND(YEAR(JulSun1+29)=カレンダーの年,MONTH(JulSun1+29)=7),JulSun1+29,""))</f>
        <v>45502</v>
      </c>
      <c r="C13" s="18">
        <f>IF(DAY(JulSun1)=1,IF(AND(YEAR(JulSun1+23)=カレンダーの年,MONTH(JulSun1+23)=7),JulSun1+23,""),IF(AND(YEAR(JulSun1+30)=カレンダーの年,MONTH(JulSun1+30)=7),JulSun1+30,""))</f>
        <v>45503</v>
      </c>
      <c r="D13" s="18">
        <f>IF(DAY(JulSun1)=1,IF(AND(YEAR(JulSun1+24)=カレンダーの年,MONTH(JulSun1+24)=7),JulSun1+24,""),IF(AND(YEAR(JulSun1+31)=カレンダーの年,MONTH(JulSun1+31)=7),JulSun1+31,""))</f>
        <v>45504</v>
      </c>
      <c r="E13" s="18" t="str">
        <f>IF(DAY(JulSun1)=1,IF(AND(YEAR(JulSun1+25)=カレンダーの年,MONTH(JulSun1+25)=7),JulSun1+25,""),IF(AND(YEAR(JulSun1+32)=カレンダーの年,MONTH(JulSun1+32)=7),JulSun1+32,""))</f>
        <v/>
      </c>
      <c r="F13" s="18" t="str">
        <f>IF(DAY(JulSun1)=1,IF(AND(YEAR(JulSun1+26)=カレンダーの年,MONTH(JulSun1+26)=7),JulSun1+26,""),IF(AND(YEAR(JulSun1+33)=カレンダーの年,MONTH(JulSun1+33)=7),JulSun1+33,""))</f>
        <v/>
      </c>
      <c r="G13" s="18" t="str">
        <f>IF(DAY(JulSun1)=1,IF(AND(YEAR(JulSun1+26)=カレンダーの年,MONTH(JulSun1+26)=7),JulSun1+26,""),IF(AND(YEAR(JulSun1+33)=カレンダーの年,MONTH(JulSun1+33)=7),JulSun1+33,""))</f>
        <v/>
      </c>
      <c r="H13" s="18" t="str">
        <f>IF(DAY(JulSun1)=1,IF(AND(YEAR(JulSun1+26)=カレンダーの年,MONTH(JulSun1+26)=7),JulSun1+26,""),IF(AND(YEAR(JulSun1+33)=カレンダーの年,MONTH(JulSun1+33)=7),JulSun1+33,""))</f>
        <v/>
      </c>
      <c r="I13" s="11"/>
    </row>
    <row r="14" spans="1:18" ht="64.5" customHeight="1">
      <c r="A14" s="3"/>
      <c r="B14" s="13"/>
      <c r="C14" s="13"/>
      <c r="D14" s="13"/>
      <c r="E14" s="13"/>
      <c r="F14" s="13"/>
      <c r="G14" s="25"/>
      <c r="H14" s="67"/>
      <c r="I14" s="11"/>
    </row>
    <row r="15" spans="1:18" ht="15" customHeight="1">
      <c r="A15" s="3"/>
      <c r="B15" s="19" t="str">
        <f>IF(DAY(JulSun1)=1,IF(AND(YEAR(JulSun1+29)=カレンダーの年,MONTH(JulSun1+29)=7),JulSun1+29,""),IF(AND(YEAR(JulSun1+36)=カレンダーの年,MONTH(JulSun1+36)=7),JulSun1+36,""))</f>
        <v/>
      </c>
      <c r="C15" s="20" t="str">
        <f>IF(DAY(JulSun1)=1,IF(AND(YEAR(JulSun1+30)=カレンダーの年,MONTH(JulSun1+30)=7),JulSun1+30,""),IF(AND(YEAR(JulSun1+37)=カレンダーの年,MONTH(JulSun1+37)=7),JulSun1+37,""))</f>
        <v/>
      </c>
      <c r="D15" s="135" t="s">
        <v>8</v>
      </c>
      <c r="E15" s="136"/>
      <c r="F15" s="136"/>
      <c r="G15" s="136"/>
      <c r="H15" s="137"/>
      <c r="I15" s="11"/>
    </row>
    <row r="16" spans="1:18" ht="64.5" customHeight="1">
      <c r="A16" s="3"/>
      <c r="B16" s="16"/>
      <c r="C16" s="16"/>
      <c r="D16" s="132" t="s">
        <v>30</v>
      </c>
      <c r="E16" s="133"/>
      <c r="F16" s="133"/>
      <c r="G16" s="133"/>
      <c r="H16" s="134"/>
      <c r="I16" s="11"/>
    </row>
    <row r="17" spans="3:5" ht="17.25" customHeight="1"/>
    <row r="19" spans="3:5" ht="21" customHeight="1">
      <c r="C19" s="21"/>
      <c r="D19" s="22"/>
      <c r="E19" s="23"/>
    </row>
    <row r="20" spans="3:5" ht="19.5" customHeight="1"/>
  </sheetData>
  <mergeCells count="3">
    <mergeCell ref="B3:F3"/>
    <mergeCell ref="D15:H15"/>
    <mergeCell ref="D16:H16"/>
  </mergeCells>
  <phoneticPr fontId="6"/>
  <printOptions horizontalCentered="1" verticalCentered="1"/>
  <pageMargins left="0.2" right="0.2" top="0.25" bottom="0.25" header="0" footer="0"/>
  <pageSetup scale="93"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週間予定 (2)</vt:lpstr>
      <vt:lpstr>T評価P</vt:lpstr>
      <vt:lpstr>1 月</vt:lpstr>
      <vt:lpstr>2 月</vt:lpstr>
      <vt:lpstr>3 月</vt:lpstr>
      <vt:lpstr>4 月</vt:lpstr>
      <vt:lpstr>5 月</vt:lpstr>
      <vt:lpstr>6 月</vt:lpstr>
      <vt:lpstr>7 月</vt:lpstr>
      <vt:lpstr>8 月</vt:lpstr>
      <vt:lpstr>9 月</vt:lpstr>
      <vt:lpstr>10 月</vt:lpstr>
      <vt:lpstr>11 月</vt:lpstr>
      <vt:lpstr>12 月</vt:lpstr>
      <vt:lpstr>カレンダーの年</vt:lpstr>
      <vt:lpstr>'1 月'!印刷範囲</vt:lpstr>
      <vt:lpstr>'10 月'!印刷範囲</vt:lpstr>
      <vt:lpstr>'11 月'!印刷範囲</vt:lpstr>
      <vt:lpstr>'12 月'!印刷範囲</vt:lpstr>
      <vt:lpstr>'2 月'!印刷範囲</vt:lpstr>
      <vt:lpstr>'3 月'!印刷範囲</vt:lpstr>
      <vt:lpstr>'4 月'!印刷範囲</vt:lpstr>
      <vt:lpstr>'5 月'!印刷範囲</vt:lpstr>
      <vt:lpstr>'6 月'!印刷範囲</vt:lpstr>
      <vt:lpstr>'7 月'!印刷範囲</vt:lpstr>
      <vt:lpstr>'8 月'!印刷範囲</vt:lpstr>
      <vt:lpstr>'9 月'!印刷範囲</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2019-10-28T05:34:28Z</dcterms:created>
  <dcterms:modified xsi:type="dcterms:W3CDTF">2024-12-06T22:35:34Z</dcterms:modified>
</cp:coreProperties>
</file>